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OD\OUTREACH\Publications\FINALS\DOCUMENTS WITHOUT Pub Numbers\Light-Duty\PHEV-EV\2022-generic-ev-label-calculator-2021-10-26-NEW\"/>
    </mc:Choice>
  </mc:AlternateContent>
  <xr:revisionPtr revIDLastSave="0" documentId="13_ncr:1_{CCCB945F-175D-4ADD-8A52-CCD40FC21E76}" xr6:coauthVersionLast="46" xr6:coauthVersionMax="46" xr10:uidLastSave="{00000000-0000-0000-0000-000000000000}"/>
  <bookViews>
    <workbookView xWindow="108" yWindow="96" windowWidth="19692" windowHeight="12024" xr2:uid="{00000000-000D-0000-FFFF-FFFF00000000}"/>
  </bookViews>
  <sheets>
    <sheet name="EV calcs" sheetId="3" r:id="rId1"/>
    <sheet name="EV calcs voluntarily lowered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4" l="1"/>
  <c r="F52" i="4" l="1"/>
  <c r="F51" i="4"/>
  <c r="E37" i="4"/>
  <c r="D37" i="4"/>
  <c r="F35" i="4"/>
  <c r="F18" i="4"/>
  <c r="D35" i="3"/>
  <c r="E35" i="3"/>
  <c r="D19" i="4"/>
  <c r="G35" i="4"/>
  <c r="E19" i="4"/>
  <c r="K20" i="4" l="1"/>
  <c r="L20" i="4"/>
  <c r="F37" i="4"/>
  <c r="E38" i="4" s="1"/>
  <c r="F49" i="3"/>
  <c r="F48" i="3"/>
  <c r="F18" i="3"/>
  <c r="F33" i="3"/>
  <c r="F35" i="3" s="1"/>
  <c r="G37" i="4"/>
  <c r="K24" i="4"/>
  <c r="K21" i="4"/>
  <c r="E19" i="3"/>
  <c r="L24" i="4"/>
  <c r="G33" i="3"/>
  <c r="L17" i="4"/>
  <c r="F19" i="4"/>
  <c r="G35" i="3"/>
  <c r="D19" i="3"/>
  <c r="K17" i="4"/>
  <c r="L21" i="4"/>
  <c r="D38" i="4" l="1"/>
  <c r="L19" i="4"/>
  <c r="E36" i="4" s="1"/>
  <c r="K19" i="4"/>
  <c r="D36" i="4" s="1"/>
  <c r="M20" i="4"/>
  <c r="K20" i="3"/>
  <c r="L20" i="3"/>
  <c r="K18" i="4"/>
  <c r="L25" i="4"/>
  <c r="L24" i="3"/>
  <c r="F19" i="3"/>
  <c r="M27" i="4"/>
  <c r="K25" i="4"/>
  <c r="K24" i="3"/>
  <c r="K17" i="3"/>
  <c r="M24" i="4"/>
  <c r="M17" i="4"/>
  <c r="L17" i="3"/>
  <c r="L18" i="4"/>
  <c r="H47" i="4" l="1"/>
  <c r="M18" i="4"/>
  <c r="H51" i="4" s="1"/>
  <c r="M19" i="4"/>
  <c r="F36" i="4" s="1"/>
  <c r="M20" i="3"/>
  <c r="K19" i="3"/>
  <c r="D34" i="3" s="1"/>
  <c r="L19" i="3"/>
  <c r="E34" i="3" s="1"/>
  <c r="K27" i="4"/>
  <c r="M21" i="4"/>
  <c r="L27" i="4"/>
  <c r="L21" i="3"/>
  <c r="L18" i="3"/>
  <c r="K21" i="3"/>
  <c r="K18" i="3"/>
  <c r="M24" i="3"/>
  <c r="M17" i="3"/>
  <c r="L26" i="4"/>
  <c r="G36" i="4"/>
  <c r="K26" i="4"/>
  <c r="M51" i="4"/>
  <c r="H52" i="4" l="1"/>
  <c r="O51" i="4"/>
  <c r="M18" i="3"/>
  <c r="H48" i="3" s="1"/>
  <c r="M19" i="3"/>
  <c r="F34" i="3" s="1"/>
  <c r="K25" i="3"/>
  <c r="M48" i="3"/>
  <c r="G34" i="3"/>
  <c r="M21" i="3"/>
  <c r="M25" i="4"/>
  <c r="L25" i="3"/>
  <c r="M52" i="4"/>
  <c r="O52" i="4" l="1"/>
  <c r="O48" i="3"/>
  <c r="H44" i="3"/>
  <c r="H49" i="3" s="1"/>
  <c r="M25" i="3"/>
  <c r="M49" i="3"/>
  <c r="O4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tc={D1C16E5F-2DA5-4EBA-953F-F16FB68F30D4}</author>
  </authors>
  <commentList>
    <comment ref="I49" authorId="0" shapeId="0" xr:uid="{D1C16E5F-2DA5-4EBA-953F-F16FB68F30D4}">
      <text>
        <t>[Threaded comment]
Your version of Excel allows you to read this threaded comment; however, any edits to it will get removed if the file is opened in a newer version of Excel. Learn more: https://go.microsoft.com/fwlink/?linkid=870924
Comment:
    ref. 40 CFR 600.311-12(e)(1);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tc={0869D0B2-8661-43E2-89BE-69037F4D9ECF}</author>
  </authors>
  <commentList>
    <comment ref="I52" authorId="0" shapeId="0" xr:uid="{0869D0B2-8661-43E2-89BE-69037F4D9ECF}">
      <text>
        <t>[Threaded comment]
Your version of Excel allows you to read this threaded comment; however, any edits to it will get removed if the file is opened in a newer version of Excel. Learn more: https://go.microsoft.com/fwlink/?linkid=870924
Comment:
    ref. 40 CFR 600.311-12(e)(1);</t>
      </text>
    </comment>
  </commentList>
</comments>
</file>

<file path=xl/sharedStrings.xml><?xml version="1.0" encoding="utf-8"?>
<sst xmlns="http://schemas.openxmlformats.org/spreadsheetml/2006/main" count="239" uniqueCount="118">
  <si>
    <t>City Intercept:</t>
  </si>
  <si>
    <t>City Slope:</t>
  </si>
  <si>
    <t>Hwy Intercept:</t>
  </si>
  <si>
    <t>Hwy Slope:</t>
  </si>
  <si>
    <t>Calculated unadjusted combined</t>
  </si>
  <si>
    <t>Annual</t>
  </si>
  <si>
    <t>Elect veh FE</t>
  </si>
  <si>
    <t>kW-hr/100 mi</t>
  </si>
  <si>
    <t>converted to mpg</t>
  </si>
  <si>
    <t>mpg</t>
  </si>
  <si>
    <t>miles</t>
  </si>
  <si>
    <t>Units</t>
  </si>
  <si>
    <t>Cost</t>
  </si>
  <si>
    <t>per kw-hr</t>
  </si>
  <si>
    <t>Method</t>
  </si>
  <si>
    <t>Method:</t>
  </si>
  <si>
    <t>Unadjusted (SAE J1634)</t>
  </si>
  <si>
    <t>City Range</t>
  </si>
  <si>
    <t>Hwy Range</t>
  </si>
  <si>
    <t>percent</t>
  </si>
  <si>
    <t>Enter unadjusted City &amp; Hwy Range Values in miles (in red text blocks) as determined from SAE J1634:</t>
  </si>
  <si>
    <t>watt-hr/gallon</t>
  </si>
  <si>
    <t>Rounded Range</t>
  </si>
  <si>
    <r>
      <t xml:space="preserve">Combined </t>
    </r>
    <r>
      <rPr>
        <u/>
        <sz val="10"/>
        <rFont val="Arial"/>
        <family val="2"/>
      </rPr>
      <t>Range</t>
    </r>
  </si>
  <si>
    <t xml:space="preserve"> </t>
  </si>
  <si>
    <t xml:space="preserve">Rounded </t>
  </si>
  <si>
    <t>*Note: Annual fuel costs should be ASTM rounded to the nearest $50.</t>
  </si>
  <si>
    <t>5-year</t>
  </si>
  <si>
    <t>Amount</t>
  </si>
  <si>
    <t>You Save:</t>
  </si>
  <si>
    <t>Manufacturer Name:</t>
  </si>
  <si>
    <t>Model Year:</t>
  </si>
  <si>
    <t>Model Name</t>
  </si>
  <si>
    <t>Test Date:</t>
  </si>
  <si>
    <t>Combined</t>
  </si>
  <si>
    <t>Highway</t>
  </si>
  <si>
    <t>City</t>
  </si>
  <si>
    <t xml:space="preserve"> (round mpg to 0.1mpg)</t>
  </si>
  <si>
    <t>(round mpg to 0.1mpg)</t>
  </si>
  <si>
    <t>Fuel Cost</t>
  </si>
  <si>
    <t>Annual Miles</t>
  </si>
  <si>
    <t>Annual Fuel Cost*</t>
  </si>
  <si>
    <t xml:space="preserve">Unrounded </t>
  </si>
  <si>
    <t>Values in Yellow fill are used on FE Labels (window stickers)</t>
  </si>
  <si>
    <t>III. Calculate Electric vehicle annual fuel cost and 5-year savings, per 40 CFR 600.311-12(e)</t>
  </si>
  <si>
    <t>Calculate unrounded adjusted combined miles/kw-hr:</t>
  </si>
  <si>
    <t>mi/kw-hr</t>
  </si>
  <si>
    <t>yyyyyyyy</t>
  </si>
  <si>
    <t>Please Enter:</t>
  </si>
  <si>
    <t>xxxxxxx</t>
  </si>
  <si>
    <t>ref. 40 CFR 600.210-08 and CD-15-15 (June 22, 2015)</t>
  </si>
  <si>
    <t>2017 and later model year MPG Factors:</t>
  </si>
  <si>
    <t xml:space="preserve">  (current derived 5-cycle, mpg-based, No Cap)</t>
  </si>
  <si>
    <t>ref. 40 CFR 600.002 "Gasoline gallon equivalent" definition</t>
  </si>
  <si>
    <t>Petroleum Equivalency Factor for FE Labels;</t>
  </si>
  <si>
    <t>xx/yy/2021</t>
  </si>
  <si>
    <t xml:space="preserve">     (from CD-2020-20 for 2022 model year)</t>
  </si>
  <si>
    <t>2022 Label</t>
  </si>
  <si>
    <t>D. Good</t>
  </si>
  <si>
    <t xml:space="preserve">Percent adjustment mpg:  </t>
  </si>
  <si>
    <t xml:space="preserve">convert back to kW-hr/100 mi:  </t>
  </si>
  <si>
    <t xml:space="preserve">Calculate derived 5-cycle mpg:  </t>
  </si>
  <si>
    <t xml:space="preserve">   Enter the EPA approved 5-cycle Adjustment Factor per SAE J1634 (July 2017): </t>
  </si>
  <si>
    <t>MPGe (5-cycle method)</t>
  </si>
  <si>
    <t>kW-hr/100 mi (5-cycle method)</t>
  </si>
  <si>
    <t xml:space="preserve">(Enter 0.70 if not using the SAE J1634 5-cycle method)                    </t>
  </si>
  <si>
    <t>(Uses 2017 and later model year derived 5-cycle coefficients (for reference calculations only) from EPA Guidance letter CD-15-15, June 22, 2015)</t>
  </si>
  <si>
    <t xml:space="preserve">miles </t>
  </si>
  <si>
    <t xml:space="preserve">Voluntarily Increased kW-hr/100 mi values -------------------------&gt;  </t>
  </si>
  <si>
    <t xml:space="preserve">Voluntarily Reduced MPG values shown on Label -------------------------&gt;  </t>
  </si>
  <si>
    <t xml:space="preserve">                  (other values are automatically calculated)</t>
  </si>
  <si>
    <t>Calculate adjusted driving range (2017 D5C method, No Cap):</t>
  </si>
  <si>
    <t xml:space="preserve">Rounded MPG Using SAE J1634 (5-cycle) or 0.7 Adjustment Factor:  </t>
  </si>
  <si>
    <t xml:space="preserve">Rounded kW-hr/100 mi Using SAE J1634 (5-cycle) or 0.7 Adjustment Factor:  </t>
  </si>
  <si>
    <t>2022 (adjusted driving range using 5-cycle or 0.7 Adjustment Factor)</t>
  </si>
  <si>
    <t>Calculate adjusted driving range (5-cycle or 0.7 Adj Factor):</t>
  </si>
  <si>
    <t xml:space="preserve"> (Using SAE J1634 5-cycle or 0.7 Adjustment Factor)</t>
  </si>
  <si>
    <t xml:space="preserve"> Derived 5-cycle method, No Cap (for reference only)</t>
  </si>
  <si>
    <t xml:space="preserve">&lt;-------- Enter only voluntarily reduced combined MPG (or leave blank); </t>
  </si>
  <si>
    <t>Values in Yellow fill are normally used on FE Labels (window stickers)</t>
  </si>
  <si>
    <t xml:space="preserve">      Values in Blue fill are voluntarily decreased/increased values</t>
  </si>
  <si>
    <t xml:space="preserve">Calculate derived 5-cycle mpg: </t>
  </si>
  <si>
    <t xml:space="preserve">convert back to kW-hr/100 mi: </t>
  </si>
  <si>
    <t xml:space="preserve">Percent adjustment (D5C) mpg: </t>
  </si>
  <si>
    <t xml:space="preserve">MPG w/SAE J1634 (5-cycle) or 0.7 Adjustment Factor: </t>
  </si>
  <si>
    <t>Hwy</t>
  </si>
  <si>
    <t>-----Adjusted Values-----</t>
  </si>
  <si>
    <t>-----Unadjusted Values-----</t>
  </si>
  <si>
    <t>FE Label MPG Calculations For Electric Vehicles</t>
  </si>
  <si>
    <t>FE Label MPG Calculations For Electric Vehicles (with Voluntarily lowered/increased values)</t>
  </si>
  <si>
    <t>II.  Calculate the adjusted electric vehicle driving ranges using the SAE J1634  5-cycle Adjustment Factor or the 0.7 Adjustment Factor:</t>
  </si>
  <si>
    <t>I.  Calculate Electric vehicle FE Label city, Hwy, Combined FE values using the SAE J1634  5-cycle Adjustment Factor or the 0.7 Adjustment Factor:</t>
  </si>
  <si>
    <t>2022MY Label Values:</t>
  </si>
  <si>
    <t>&lt;------------------------Enter Voluntary Reduced (Combined) Range Value shown on label</t>
  </si>
  <si>
    <t>2022 adjusted driving range (derived 5-cycle method, No Cap) calculated for reference only</t>
  </si>
  <si>
    <t xml:space="preserve">Enter Average 2022MY 5-year Fuel Cost: </t>
  </si>
  <si>
    <t xml:space="preserve">Enter 2022MY U.S. average electricity cost: </t>
  </si>
  <si>
    <t>MPG (5-cycle method)</t>
  </si>
  <si>
    <t>for EPA (reference only)</t>
  </si>
  <si>
    <t>kW-hr/100 mi - Derived 5-cycle (EPA--for reference only)</t>
  </si>
  <si>
    <t>because www.fueleconomy.gov uses a floating fuel cost).</t>
  </si>
  <si>
    <t>Fuel Cost**</t>
  </si>
  <si>
    <t>You Save**</t>
  </si>
  <si>
    <t xml:space="preserve">(They may be different from the www.fueleconomy.gov values, </t>
  </si>
  <si>
    <t xml:space="preserve">**Note:  These values are used on the window stickers.  </t>
  </si>
  <si>
    <t xml:space="preserve">&lt;-------- (round to  5 decimal places); </t>
  </si>
  <si>
    <t>Enter unadjusted kW-hr/100mi Values (in red text blocks) rounded to 5 decimal places as determined from SAE J1634:</t>
  </si>
  <si>
    <t>unadjusted kW-hr/100 mi*</t>
  </si>
  <si>
    <t>*Round to Input kW-hr/100 mi values to 5 decimal places</t>
  </si>
  <si>
    <t>Enter unadjusted City &amp; Hwy Range Values in miles (in red text blocks) rounded to 3 decimal places as determined from SAE J1634:</t>
  </si>
  <si>
    <t>Calculate unadjusted combined driving range*:</t>
  </si>
  <si>
    <t>unrounded kW-hr/100 mi*</t>
  </si>
  <si>
    <t>*Round input city and hwy range values to 3 decimal places</t>
  </si>
  <si>
    <t>(Orange background = too many decimal places)</t>
  </si>
  <si>
    <t>*Round Input kW-hr/100 mi values to 5 decimal places</t>
  </si>
  <si>
    <t>(Whole number)</t>
  </si>
  <si>
    <t>(2 decimal places)</t>
  </si>
  <si>
    <t>October 26,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</si>
</sst>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"/>
    <numFmt numFmtId="165" formatCode="0.0"/>
    <numFmt numFmtId="166" formatCode="0.0000"/>
    <numFmt numFmtId="167" formatCode="&quot;$&quot;#,##0.00"/>
    <numFmt numFmtId="168" formatCode="0.0%"/>
    <numFmt numFmtId="169" formatCode="&quot;$&quot;#,##0"/>
    <numFmt numFmtId="170" formatCode="0.00000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sz val="12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10"/>
      <color rgb="FF0066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FCD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4" fillId="0" borderId="0" xfId="0" applyFont="1"/>
    <xf numFmtId="0" fontId="0" fillId="0" borderId="0" xfId="0" applyAlignment="1">
      <alignment wrapText="1"/>
    </xf>
    <xf numFmtId="0" fontId="6" fillId="0" borderId="0" xfId="0" applyFont="1"/>
    <xf numFmtId="164" fontId="0" fillId="0" borderId="0" xfId="0" applyNumberForma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166" fontId="0" fillId="0" borderId="0" xfId="0" applyNumberFormat="1"/>
    <xf numFmtId="166" fontId="3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6" fillId="0" borderId="0" xfId="0" applyNumberFormat="1" applyFont="1"/>
    <xf numFmtId="164" fontId="8" fillId="0" borderId="0" xfId="0" applyNumberFormat="1" applyFont="1" applyBorder="1"/>
    <xf numFmtId="166" fontId="1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/>
    <xf numFmtId="165" fontId="3" fillId="0" borderId="0" xfId="0" applyNumberFormat="1" applyFont="1"/>
    <xf numFmtId="168" fontId="3" fillId="0" borderId="0" xfId="0" applyNumberFormat="1" applyFont="1" applyBorder="1"/>
    <xf numFmtId="165" fontId="10" fillId="0" borderId="0" xfId="0" applyNumberFormat="1" applyFont="1"/>
    <xf numFmtId="167" fontId="6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166" fontId="10" fillId="0" borderId="0" xfId="0" applyNumberFormat="1" applyFont="1" applyAlignment="1">
      <alignment horizontal="center" wrapText="1"/>
    </xf>
    <xf numFmtId="0" fontId="12" fillId="0" borderId="0" xfId="0" applyFont="1"/>
    <xf numFmtId="165" fontId="9" fillId="0" borderId="0" xfId="0" applyNumberFormat="1" applyFont="1"/>
    <xf numFmtId="0" fontId="12" fillId="0" borderId="0" xfId="0" applyFont="1" applyAlignment="1">
      <alignment horizontal="center" wrapText="1"/>
    </xf>
    <xf numFmtId="1" fontId="8" fillId="0" borderId="1" xfId="0" applyNumberFormat="1" applyFont="1" applyBorder="1" applyAlignment="1">
      <alignment horizontal="center"/>
    </xf>
    <xf numFmtId="0" fontId="0" fillId="0" borderId="0" xfId="0" applyBorder="1"/>
    <xf numFmtId="1" fontId="10" fillId="0" borderId="0" xfId="0" applyNumberFormat="1" applyFont="1"/>
    <xf numFmtId="0" fontId="13" fillId="0" borderId="0" xfId="0" applyFont="1" applyBorder="1" applyAlignment="1">
      <alignment horizontal="center" vertical="top" wrapText="1"/>
    </xf>
    <xf numFmtId="1" fontId="0" fillId="0" borderId="0" xfId="0" applyNumberFormat="1"/>
    <xf numFmtId="0" fontId="3" fillId="0" borderId="0" xfId="0" applyFont="1" applyAlignment="1">
      <alignment horizontal="left"/>
    </xf>
    <xf numFmtId="0" fontId="5" fillId="0" borderId="0" xfId="0" applyFont="1"/>
    <xf numFmtId="1" fontId="13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horizontal="right"/>
    </xf>
    <xf numFmtId="0" fontId="6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3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6" fontId="10" fillId="0" borderId="0" xfId="0" applyNumberFormat="1" applyFont="1" applyBorder="1"/>
    <xf numFmtId="166" fontId="10" fillId="0" borderId="0" xfId="0" applyNumberFormat="1" applyFont="1"/>
    <xf numFmtId="167" fontId="0" fillId="0" borderId="1" xfId="0" applyNumberFormat="1" applyBorder="1"/>
    <xf numFmtId="1" fontId="8" fillId="0" borderId="0" xfId="0" applyNumberFormat="1" applyFont="1" applyBorder="1"/>
    <xf numFmtId="1" fontId="8" fillId="2" borderId="10" xfId="0" applyNumberFormat="1" applyFont="1" applyFill="1" applyBorder="1"/>
    <xf numFmtId="1" fontId="8" fillId="2" borderId="1" xfId="0" applyNumberFormat="1" applyFont="1" applyFill="1" applyBorder="1"/>
    <xf numFmtId="1" fontId="8" fillId="2" borderId="11" xfId="0" applyNumberFormat="1" applyFont="1" applyFill="1" applyBorder="1"/>
    <xf numFmtId="166" fontId="8" fillId="0" borderId="0" xfId="0" applyNumberFormat="1" applyFont="1" applyFill="1" applyBorder="1"/>
    <xf numFmtId="169" fontId="10" fillId="0" borderId="12" xfId="0" applyNumberFormat="1" applyFont="1" applyBorder="1"/>
    <xf numFmtId="167" fontId="14" fillId="2" borderId="1" xfId="0" applyNumberFormat="1" applyFont="1" applyFill="1" applyBorder="1"/>
    <xf numFmtId="0" fontId="15" fillId="0" borderId="0" xfId="0" applyFont="1" applyBorder="1" applyAlignment="1">
      <alignment horizontal="center" vertical="top" wrapText="1"/>
    </xf>
    <xf numFmtId="169" fontId="14" fillId="2" borderId="1" xfId="0" applyNumberFormat="1" applyFont="1" applyFill="1" applyBorder="1"/>
    <xf numFmtId="1" fontId="8" fillId="2" borderId="1" xfId="0" applyNumberFormat="1" applyFont="1" applyFill="1" applyBorder="1" applyAlignment="1">
      <alignment horizontal="center"/>
    </xf>
    <xf numFmtId="169" fontId="10" fillId="0" borderId="0" xfId="0" applyNumberFormat="1" applyFont="1" applyBorder="1"/>
    <xf numFmtId="0" fontId="16" fillId="0" borderId="0" xfId="0" applyFont="1" applyFill="1" applyBorder="1"/>
    <xf numFmtId="0" fontId="14" fillId="0" borderId="0" xfId="0" applyFont="1"/>
    <xf numFmtId="166" fontId="14" fillId="0" borderId="0" xfId="0" applyNumberFormat="1" applyFont="1" applyFill="1" applyBorder="1"/>
    <xf numFmtId="0" fontId="0" fillId="0" borderId="0" xfId="0" applyBorder="1" applyAlignment="1">
      <alignment wrapText="1"/>
    </xf>
    <xf numFmtId="165" fontId="8" fillId="0" borderId="0" xfId="0" applyNumberFormat="1" applyFont="1" applyBorder="1"/>
    <xf numFmtId="0" fontId="3" fillId="0" borderId="0" xfId="0" applyFont="1" applyBorder="1"/>
    <xf numFmtId="1" fontId="8" fillId="0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8" fillId="0" borderId="0" xfId="0" applyFont="1"/>
    <xf numFmtId="166" fontId="17" fillId="0" borderId="0" xfId="0" applyNumberFormat="1" applyFont="1"/>
    <xf numFmtId="0" fontId="19" fillId="0" borderId="0" xfId="0" applyFont="1" applyBorder="1" applyAlignment="1">
      <alignment horizontal="center" vertical="top" wrapText="1"/>
    </xf>
    <xf numFmtId="1" fontId="18" fillId="0" borderId="0" xfId="0" applyNumberFormat="1" applyFont="1"/>
    <xf numFmtId="0" fontId="17" fillId="0" borderId="0" xfId="0" applyFont="1"/>
    <xf numFmtId="0" fontId="0" fillId="0" borderId="0" xfId="0" applyBorder="1" applyAlignment="1">
      <alignment horizontal="center"/>
    </xf>
    <xf numFmtId="1" fontId="10" fillId="0" borderId="0" xfId="0" applyNumberFormat="1" applyFont="1" applyAlignment="1">
      <alignment horizontal="center"/>
    </xf>
    <xf numFmtId="167" fontId="8" fillId="0" borderId="0" xfId="0" applyNumberFormat="1" applyFont="1" applyBorder="1"/>
    <xf numFmtId="0" fontId="10" fillId="0" borderId="0" xfId="0" applyFont="1" applyBorder="1"/>
    <xf numFmtId="0" fontId="8" fillId="0" borderId="0" xfId="0" applyFont="1" applyBorder="1"/>
    <xf numFmtId="167" fontId="0" fillId="0" borderId="0" xfId="0" applyNumberFormat="1" applyBorder="1"/>
    <xf numFmtId="3" fontId="0" fillId="0" borderId="0" xfId="0" applyNumberFormat="1" applyAlignment="1">
      <alignment horizontal="center"/>
    </xf>
    <xf numFmtId="167" fontId="10" fillId="0" borderId="0" xfId="0" applyNumberFormat="1" applyFont="1" applyAlignment="1">
      <alignment horizontal="center"/>
    </xf>
    <xf numFmtId="167" fontId="8" fillId="0" borderId="0" xfId="0" applyNumberFormat="1" applyFont="1" applyBorder="1" applyAlignment="1">
      <alignment horizontal="center"/>
    </xf>
    <xf numFmtId="167" fontId="3" fillId="3" borderId="10" xfId="0" applyNumberFormat="1" applyFont="1" applyFill="1" applyBorder="1" applyAlignment="1">
      <alignment horizontal="center"/>
    </xf>
    <xf numFmtId="167" fontId="3" fillId="3" borderId="11" xfId="0" applyNumberFormat="1" applyFont="1" applyFill="1" applyBorder="1" applyAlignment="1">
      <alignment horizontal="center"/>
    </xf>
    <xf numFmtId="167" fontId="10" fillId="0" borderId="0" xfId="0" applyNumberFormat="1" applyFont="1" applyBorder="1" applyAlignment="1">
      <alignment horizontal="center"/>
    </xf>
    <xf numFmtId="0" fontId="1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/>
    <xf numFmtId="0" fontId="0" fillId="0" borderId="0" xfId="0" applyAlignment="1"/>
    <xf numFmtId="0" fontId="1" fillId="0" borderId="0" xfId="0" applyFont="1"/>
    <xf numFmtId="0" fontId="5" fillId="0" borderId="0" xfId="0" applyFont="1" applyAlignment="1">
      <alignment horizontal="left"/>
    </xf>
    <xf numFmtId="0" fontId="1" fillId="0" borderId="5" xfId="0" applyFont="1" applyBorder="1"/>
    <xf numFmtId="0" fontId="1" fillId="0" borderId="2" xfId="0" applyFont="1" applyBorder="1"/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0" fillId="0" borderId="0" xfId="0" applyFill="1"/>
    <xf numFmtId="15" fontId="1" fillId="0" borderId="0" xfId="0" quotePrefix="1" applyNumberFormat="1" applyFont="1" applyFill="1"/>
    <xf numFmtId="164" fontId="1" fillId="0" borderId="0" xfId="0" applyNumberFormat="1" applyFont="1" applyFill="1" applyBorder="1"/>
    <xf numFmtId="0" fontId="1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4" borderId="0" xfId="0" applyFill="1"/>
    <xf numFmtId="164" fontId="0" fillId="4" borderId="0" xfId="0" applyNumberFormat="1" applyFill="1"/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center"/>
    </xf>
    <xf numFmtId="164" fontId="1" fillId="4" borderId="0" xfId="0" applyNumberFormat="1" applyFont="1" applyFill="1"/>
    <xf numFmtId="166" fontId="0" fillId="4" borderId="0" xfId="0" applyNumberFormat="1" applyFill="1"/>
    <xf numFmtId="0" fontId="1" fillId="4" borderId="0" xfId="0" applyFont="1" applyFill="1"/>
    <xf numFmtId="0" fontId="8" fillId="4" borderId="0" xfId="0" applyFont="1" applyFill="1"/>
    <xf numFmtId="164" fontId="0" fillId="0" borderId="0" xfId="0" applyNumberFormat="1" applyFill="1"/>
    <xf numFmtId="166" fontId="1" fillId="0" borderId="0" xfId="0" applyNumberFormat="1" applyFont="1" applyFill="1"/>
    <xf numFmtId="1" fontId="8" fillId="2" borderId="12" xfId="0" applyNumberFormat="1" applyFont="1" applyFill="1" applyBorder="1"/>
    <xf numFmtId="0" fontId="17" fillId="0" borderId="0" xfId="0" applyFont="1" applyFill="1" applyBorder="1" applyAlignment="1">
      <alignment horizontal="right"/>
    </xf>
    <xf numFmtId="164" fontId="17" fillId="0" borderId="0" xfId="0" applyNumberFormat="1" applyFont="1" applyAlignment="1">
      <alignment horizontal="left"/>
    </xf>
    <xf numFmtId="0" fontId="18" fillId="0" borderId="0" xfId="0" applyFont="1" applyBorder="1" applyAlignment="1">
      <alignment horizontal="center" vertical="top" wrapText="1"/>
    </xf>
    <xf numFmtId="1" fontId="14" fillId="5" borderId="10" xfId="0" applyNumberFormat="1" applyFont="1" applyFill="1" applyBorder="1"/>
    <xf numFmtId="1" fontId="14" fillId="5" borderId="1" xfId="0" applyNumberFormat="1" applyFont="1" applyFill="1" applyBorder="1"/>
    <xf numFmtId="1" fontId="14" fillId="0" borderId="0" xfId="0" applyNumberFormat="1" applyFont="1" applyFill="1" applyBorder="1"/>
    <xf numFmtId="0" fontId="1" fillId="0" borderId="0" xfId="0" applyFont="1" applyAlignment="1">
      <alignment horizontal="left"/>
    </xf>
    <xf numFmtId="0" fontId="1" fillId="0" borderId="0" xfId="0" applyFont="1" applyFill="1"/>
    <xf numFmtId="164" fontId="1" fillId="0" borderId="0" xfId="0" applyNumberFormat="1" applyFont="1" applyFill="1"/>
    <xf numFmtId="165" fontId="1" fillId="0" borderId="0" xfId="0" applyNumberFormat="1" applyFont="1"/>
    <xf numFmtId="0" fontId="3" fillId="0" borderId="0" xfId="0" applyFont="1" applyAlignment="1">
      <alignment horizontal="center" wrapText="1"/>
    </xf>
    <xf numFmtId="0" fontId="3" fillId="0" borderId="0" xfId="0" quotePrefix="1" applyFont="1" applyAlignment="1">
      <alignment horizontal="center" wrapText="1"/>
    </xf>
    <xf numFmtId="166" fontId="20" fillId="0" borderId="0" xfId="0" applyNumberFormat="1" applyFont="1" applyFill="1"/>
    <xf numFmtId="0" fontId="20" fillId="0" borderId="0" xfId="0" applyFont="1" applyFill="1"/>
    <xf numFmtId="164" fontId="20" fillId="0" borderId="0" xfId="0" applyNumberFormat="1" applyFont="1" applyFill="1"/>
    <xf numFmtId="0" fontId="14" fillId="0" borderId="0" xfId="0" applyFont="1" applyFill="1" applyAlignment="1">
      <alignment horizontal="right"/>
    </xf>
    <xf numFmtId="0" fontId="14" fillId="0" borderId="0" xfId="0" applyFont="1" applyFill="1" applyBorder="1" applyAlignment="1">
      <alignment horizontal="right"/>
    </xf>
    <xf numFmtId="165" fontId="1" fillId="0" borderId="0" xfId="0" applyNumberFormat="1" applyFont="1" applyBorder="1"/>
    <xf numFmtId="168" fontId="1" fillId="0" borderId="0" xfId="0" applyNumberFormat="1" applyFont="1" applyBorder="1"/>
    <xf numFmtId="1" fontId="1" fillId="0" borderId="1" xfId="0" applyNumberFormat="1" applyFont="1" applyBorder="1" applyAlignment="1">
      <alignment horizontal="center"/>
    </xf>
    <xf numFmtId="164" fontId="17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/>
    <xf numFmtId="1" fontId="1" fillId="0" borderId="0" xfId="0" applyNumberFormat="1" applyFont="1" applyAlignment="1">
      <alignment horizontal="center"/>
    </xf>
    <xf numFmtId="0" fontId="1" fillId="0" borderId="0" xfId="0" applyFont="1" applyFill="1" applyBorder="1"/>
    <xf numFmtId="167" fontId="0" fillId="0" borderId="0" xfId="0" applyNumberFormat="1" applyFill="1" applyBorder="1"/>
    <xf numFmtId="0" fontId="13" fillId="0" borderId="0" xfId="0" applyFont="1" applyFill="1" applyBorder="1" applyAlignment="1">
      <alignment horizontal="center" vertical="top" wrapText="1"/>
    </xf>
    <xf numFmtId="169" fontId="10" fillId="0" borderId="0" xfId="0" applyNumberFormat="1" applyFont="1" applyFill="1" applyBorder="1"/>
    <xf numFmtId="166" fontId="8" fillId="0" borderId="0" xfId="0" applyNumberFormat="1" applyFont="1" applyBorder="1"/>
    <xf numFmtId="0" fontId="3" fillId="0" borderId="0" xfId="0" applyFont="1" applyFill="1"/>
    <xf numFmtId="164" fontId="17" fillId="0" borderId="1" xfId="0" applyNumberFormat="1" applyFont="1" applyFill="1" applyBorder="1"/>
    <xf numFmtId="170" fontId="17" fillId="0" borderId="1" xfId="0" applyNumberFormat="1" applyFont="1" applyFill="1" applyBorder="1"/>
    <xf numFmtId="169" fontId="17" fillId="0" borderId="1" xfId="0" applyNumberFormat="1" applyFont="1" applyFill="1" applyBorder="1" applyAlignment="1">
      <alignment horizontal="center"/>
    </xf>
    <xf numFmtId="167" fontId="6" fillId="0" borderId="1" xfId="0" applyNumberFormat="1" applyFont="1" applyFill="1" applyBorder="1" applyAlignment="1">
      <alignment horizontal="center"/>
    </xf>
    <xf numFmtId="1" fontId="17" fillId="5" borderId="1" xfId="0" applyNumberFormat="1" applyFont="1" applyFill="1" applyBorder="1"/>
    <xf numFmtId="1" fontId="17" fillId="5" borderId="1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left"/>
    </xf>
    <xf numFmtId="170" fontId="17" fillId="4" borderId="1" xfId="0" applyNumberFormat="1" applyFont="1" applyFill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12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00FF"/>
      <color rgb="FF0066FF"/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ood, David" id="{694E2E60-545F-428D-A858-575A8DC3CBE9}" userId="S::good.david@epa.gov::2d4a448e-07e5-48f6-9435-868d7bde7fd8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49" dT="2021-10-04T16:18:23.07" personId="{694E2E60-545F-428D-A858-575A8DC3CBE9}" id="{D1C16E5F-2DA5-4EBA-953F-F16FB68F30D4}">
    <text>ref. 40 CFR 600.311-12(e)(1);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I52" dT="2021-10-04T16:18:23.07" personId="{694E2E60-545F-428D-A858-575A8DC3CBE9}" id="{0869D0B2-8661-43E2-89BE-69037F4D9ECF}">
    <text>ref. 40 CFR 600.311-12(e)(1);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T54"/>
  <sheetViews>
    <sheetView tabSelected="1" zoomScale="80" zoomScaleNormal="80" workbookViewId="0"/>
  </sheetViews>
  <sheetFormatPr defaultRowHeight="13.5" customHeight="1" x14ac:dyDescent="0.25"/>
  <cols>
    <col min="1" max="1" width="12.6640625" customWidth="1"/>
    <col min="2" max="2" width="12.44140625" customWidth="1"/>
    <col min="3" max="3" width="28" customWidth="1"/>
    <col min="4" max="4" width="11" customWidth="1"/>
    <col min="5" max="5" width="12" customWidth="1"/>
    <col min="6" max="6" width="10.6640625" customWidth="1"/>
    <col min="7" max="7" width="12.6640625" customWidth="1"/>
    <col min="8" max="9" width="10" customWidth="1"/>
    <col min="10" max="10" width="28.33203125" customWidth="1"/>
    <col min="12" max="12" width="9.6640625" customWidth="1"/>
    <col min="13" max="13" width="10.88671875" customWidth="1"/>
    <col min="14" max="14" width="9.33203125" customWidth="1"/>
    <col min="15" max="15" width="10" customWidth="1"/>
    <col min="16" max="16" width="9" customWidth="1"/>
    <col min="17" max="17" width="9.5546875" bestFit="1" customWidth="1"/>
    <col min="19" max="19" width="11.5546875" customWidth="1"/>
  </cols>
  <sheetData>
    <row r="1" spans="1:16" ht="18" customHeight="1" x14ac:dyDescent="0.3">
      <c r="E1" s="1" t="s">
        <v>88</v>
      </c>
    </row>
    <row r="2" spans="1:16" ht="13.5" customHeight="1" x14ac:dyDescent="0.3">
      <c r="E2" s="1"/>
    </row>
    <row r="3" spans="1:16" ht="13.5" customHeight="1" x14ac:dyDescent="0.25">
      <c r="A3" s="74" t="s">
        <v>48</v>
      </c>
      <c r="D3" s="16" t="s">
        <v>66</v>
      </c>
    </row>
    <row r="4" spans="1:16" ht="13.5" customHeight="1" x14ac:dyDescent="0.3">
      <c r="A4" s="16" t="s">
        <v>31</v>
      </c>
      <c r="C4" s="95">
        <v>2022</v>
      </c>
      <c r="E4" s="1"/>
    </row>
    <row r="5" spans="1:16" ht="13.5" customHeight="1" x14ac:dyDescent="0.3">
      <c r="A5" s="16" t="s">
        <v>30</v>
      </c>
      <c r="C5" s="87" t="s">
        <v>49</v>
      </c>
      <c r="E5" s="1"/>
      <c r="F5" s="23" t="s">
        <v>43</v>
      </c>
    </row>
    <row r="6" spans="1:16" ht="13.5" customHeight="1" x14ac:dyDescent="0.3">
      <c r="A6" s="16" t="s">
        <v>32</v>
      </c>
      <c r="C6" s="87" t="s">
        <v>47</v>
      </c>
      <c r="E6" s="1"/>
      <c r="L6" s="97" t="s">
        <v>58</v>
      </c>
      <c r="N6" s="98" t="s">
        <v>117</v>
      </c>
    </row>
    <row r="7" spans="1:16" ht="13.5" customHeight="1" thickBot="1" x14ac:dyDescent="0.35">
      <c r="A7" s="16" t="s">
        <v>33</v>
      </c>
      <c r="C7" s="96" t="s">
        <v>55</v>
      </c>
      <c r="E7" s="1"/>
    </row>
    <row r="8" spans="1:16" ht="13.5" customHeight="1" thickBot="1" x14ac:dyDescent="0.35">
      <c r="A8" s="16"/>
      <c r="C8" s="96"/>
      <c r="E8" s="1"/>
      <c r="K8" s="87" t="s">
        <v>62</v>
      </c>
      <c r="L8" s="151">
        <v>0.72004000000000001</v>
      </c>
      <c r="M8" s="74" t="s">
        <v>105</v>
      </c>
    </row>
    <row r="9" spans="1:16" ht="13.5" customHeight="1" x14ac:dyDescent="0.3">
      <c r="A9" s="16"/>
      <c r="C9" s="96"/>
      <c r="E9" s="1"/>
      <c r="K9" s="87" t="s">
        <v>65</v>
      </c>
      <c r="M9" s="70" t="s">
        <v>113</v>
      </c>
    </row>
    <row r="11" spans="1:16" ht="13.5" customHeight="1" x14ac:dyDescent="0.25">
      <c r="A11" s="16" t="s">
        <v>91</v>
      </c>
    </row>
    <row r="12" spans="1:16" ht="13.5" customHeight="1" x14ac:dyDescent="0.25">
      <c r="O12" s="11"/>
    </row>
    <row r="13" spans="1:16" ht="13.5" customHeight="1" x14ac:dyDescent="0.25">
      <c r="B13" s="3" t="s">
        <v>106</v>
      </c>
      <c r="K13" s="33"/>
      <c r="L13" s="11"/>
      <c r="O13" s="15"/>
      <c r="P13" s="15"/>
    </row>
    <row r="14" spans="1:16" ht="13.5" customHeight="1" x14ac:dyDescent="0.25">
      <c r="D14" s="154" t="s">
        <v>87</v>
      </c>
      <c r="E14" s="155"/>
      <c r="F14" s="155"/>
      <c r="G14" s="3"/>
      <c r="H14" s="3"/>
      <c r="J14" s="2"/>
      <c r="K14" s="126"/>
      <c r="L14" s="125"/>
      <c r="M14" s="125"/>
      <c r="N14" s="2"/>
    </row>
    <row r="15" spans="1:16" ht="13.5" customHeight="1" x14ac:dyDescent="0.25">
      <c r="D15" s="69" t="s">
        <v>36</v>
      </c>
      <c r="E15" s="10" t="s">
        <v>35</v>
      </c>
      <c r="F15" s="10" t="s">
        <v>34</v>
      </c>
      <c r="I15" s="67"/>
      <c r="J15" s="2"/>
      <c r="K15" s="154" t="s">
        <v>86</v>
      </c>
      <c r="L15" s="155"/>
      <c r="M15" s="155"/>
      <c r="N15" s="69"/>
    </row>
    <row r="16" spans="1:16" ht="13.5" customHeight="1" x14ac:dyDescent="0.25">
      <c r="A16" s="2"/>
      <c r="D16" s="68" t="s">
        <v>37</v>
      </c>
      <c r="E16" s="68" t="s">
        <v>38</v>
      </c>
      <c r="F16" s="2" t="s">
        <v>4</v>
      </c>
      <c r="G16" s="2" t="s">
        <v>11</v>
      </c>
      <c r="H16" s="2"/>
      <c r="I16" s="63"/>
      <c r="K16" s="69" t="s">
        <v>36</v>
      </c>
      <c r="L16" s="10" t="s">
        <v>85</v>
      </c>
      <c r="M16" s="10" t="s">
        <v>34</v>
      </c>
      <c r="N16" s="69" t="s">
        <v>11</v>
      </c>
    </row>
    <row r="17" spans="1:19" ht="13.5" customHeight="1" thickBot="1" x14ac:dyDescent="0.3">
      <c r="A17" s="2"/>
      <c r="D17" s="2" t="s">
        <v>24</v>
      </c>
      <c r="E17" t="s">
        <v>24</v>
      </c>
      <c r="F17" s="2"/>
      <c r="G17" s="2"/>
      <c r="H17" s="2"/>
      <c r="I17" s="63"/>
      <c r="J17" s="102" t="s">
        <v>61</v>
      </c>
      <c r="K17" s="132">
        <f>astm((1/((B42)+(B43/D19))), 1)</f>
        <v>95.1</v>
      </c>
      <c r="L17" s="132">
        <f>astm((1/((B44)+(B45/E19))), 1)</f>
        <v>80.8</v>
      </c>
      <c r="M17" s="124">
        <f>astm((1/((0.55/K17)+(0.45/L17))), 1)</f>
        <v>88.1</v>
      </c>
      <c r="N17" s="91" t="s">
        <v>9</v>
      </c>
      <c r="O17" t="s">
        <v>98</v>
      </c>
    </row>
    <row r="18" spans="1:19" ht="13.5" customHeight="1" thickBot="1" x14ac:dyDescent="0.3">
      <c r="B18" t="s">
        <v>6</v>
      </c>
      <c r="C18" s="121" t="s">
        <v>107</v>
      </c>
      <c r="D18" s="145">
        <v>18.670500000000001</v>
      </c>
      <c r="E18" s="145">
        <v>23.906300000000002</v>
      </c>
      <c r="F18" s="14">
        <f>(0.55*D18+0.45*E18)</f>
        <v>21.026610000000005</v>
      </c>
      <c r="G18" t="s">
        <v>7</v>
      </c>
      <c r="I18" s="64"/>
      <c r="J18" s="102" t="s">
        <v>60</v>
      </c>
      <c r="K18" s="132">
        <f>astm((0.1*A50/K17), 1)</f>
        <v>35.4</v>
      </c>
      <c r="L18" s="132">
        <f>astm((0.1*A50/L17), 1)</f>
        <v>41.7</v>
      </c>
      <c r="M18" s="132">
        <f>ROUND((0.1*A50/M17), 1)</f>
        <v>38.299999999999997</v>
      </c>
      <c r="N18" s="91" t="s">
        <v>99</v>
      </c>
      <c r="O18" s="23"/>
    </row>
    <row r="19" spans="1:19" ht="13.5" customHeight="1" x14ac:dyDescent="0.25">
      <c r="B19" t="s">
        <v>6</v>
      </c>
      <c r="C19" s="15" t="s">
        <v>8</v>
      </c>
      <c r="D19" s="16">
        <f>astm((A50/(10*D18)),1)</f>
        <v>180.5</v>
      </c>
      <c r="E19" s="17">
        <f>astm((A50/(10*E18)),1)</f>
        <v>141</v>
      </c>
      <c r="F19" s="14">
        <f>astm((1/((0.55/D19)+(0.45/E19))), 4)</f>
        <v>160.2929</v>
      </c>
      <c r="G19" t="s">
        <v>9</v>
      </c>
      <c r="I19" s="65"/>
      <c r="J19" s="102" t="s">
        <v>59</v>
      </c>
      <c r="K19" s="133">
        <f>(D19-K17)/D19</f>
        <v>0.47313019390581723</v>
      </c>
      <c r="L19" s="133">
        <f>(E19-L17)/E19</f>
        <v>0.42695035460992908</v>
      </c>
      <c r="M19" s="133">
        <f>(F19-M17)/F19</f>
        <v>0.45038114601457713</v>
      </c>
      <c r="N19" s="91" t="s">
        <v>19</v>
      </c>
      <c r="O19" t="s">
        <v>98</v>
      </c>
    </row>
    <row r="20" spans="1:19" ht="13.5" customHeight="1" x14ac:dyDescent="0.25">
      <c r="C20" s="150" t="s">
        <v>114</v>
      </c>
      <c r="D20" s="16"/>
      <c r="E20" s="16"/>
      <c r="F20" s="14"/>
      <c r="H20" s="103"/>
      <c r="I20" s="104"/>
      <c r="J20" s="105" t="s">
        <v>84</v>
      </c>
      <c r="K20" s="62">
        <f>L8*D19</f>
        <v>129.96722</v>
      </c>
      <c r="L20" s="62">
        <f>L8*E19</f>
        <v>101.52564</v>
      </c>
      <c r="M20" s="62">
        <f>L8*F19</f>
        <v>115.417299716</v>
      </c>
      <c r="N20" s="6" t="s">
        <v>63</v>
      </c>
    </row>
    <row r="21" spans="1:19" ht="13.5" customHeight="1" x14ac:dyDescent="0.25">
      <c r="C21" s="150" t="s">
        <v>113</v>
      </c>
      <c r="D21" s="95"/>
      <c r="E21" s="16"/>
      <c r="F21" s="14"/>
      <c r="I21" s="4"/>
      <c r="J21" s="102" t="s">
        <v>60</v>
      </c>
      <c r="K21" s="53">
        <f>astm((0.1*A50/K20), 4)</f>
        <v>25.933499999999999</v>
      </c>
      <c r="L21" s="53">
        <f>astm((0.1*A50/L20), 4)</f>
        <v>33.198500000000003</v>
      </c>
      <c r="M21" s="53">
        <f>astm((0.1*A50/M20), 4)</f>
        <v>29.2027</v>
      </c>
      <c r="N21" s="6" t="s">
        <v>64</v>
      </c>
      <c r="O21" s="6"/>
      <c r="S21" s="6"/>
    </row>
    <row r="22" spans="1:19" ht="13.5" customHeight="1" x14ac:dyDescent="0.25">
      <c r="C22" s="15"/>
      <c r="D22" s="16"/>
      <c r="E22" s="16"/>
      <c r="F22" s="14"/>
      <c r="I22" s="4"/>
      <c r="K22" s="142"/>
      <c r="L22" s="31"/>
      <c r="M22" s="19"/>
    </row>
    <row r="23" spans="1:19" ht="13.5" customHeight="1" thickBot="1" x14ac:dyDescent="0.3">
      <c r="C23" s="15"/>
      <c r="D23" s="16"/>
      <c r="E23" s="16"/>
      <c r="F23" s="14"/>
      <c r="I23" s="4"/>
      <c r="J23" s="61" t="s">
        <v>92</v>
      </c>
      <c r="K23" s="13"/>
      <c r="L23" s="31"/>
      <c r="M23" s="19"/>
    </row>
    <row r="24" spans="1:19" ht="13.5" customHeight="1" thickBot="1" x14ac:dyDescent="0.3">
      <c r="C24" s="15"/>
      <c r="D24" s="16"/>
      <c r="E24" s="16"/>
      <c r="F24" s="113"/>
      <c r="G24" s="122"/>
      <c r="H24" s="122"/>
      <c r="I24" s="123"/>
      <c r="J24" s="130" t="s">
        <v>72</v>
      </c>
      <c r="K24" s="50">
        <f t="shared" ref="K24:M25" si="0">astm(K20,0)</f>
        <v>130</v>
      </c>
      <c r="L24" s="51">
        <f t="shared" si="0"/>
        <v>102</v>
      </c>
      <c r="M24" s="52">
        <f t="shared" si="0"/>
        <v>115</v>
      </c>
    </row>
    <row r="25" spans="1:19" ht="13.5" customHeight="1" thickBot="1" x14ac:dyDescent="0.3">
      <c r="C25" s="15"/>
      <c r="D25" s="16"/>
      <c r="E25" s="16"/>
      <c r="F25" s="113"/>
      <c r="G25" s="122"/>
      <c r="H25" s="122"/>
      <c r="I25" s="123"/>
      <c r="J25" s="131" t="s">
        <v>73</v>
      </c>
      <c r="K25" s="49">
        <f t="shared" si="0"/>
        <v>26</v>
      </c>
      <c r="L25" s="49">
        <f t="shared" si="0"/>
        <v>33</v>
      </c>
      <c r="M25" s="51">
        <f t="shared" si="0"/>
        <v>29</v>
      </c>
    </row>
    <row r="26" spans="1:19" ht="13.5" customHeight="1" x14ac:dyDescent="0.25">
      <c r="C26" s="15"/>
      <c r="D26" s="16"/>
      <c r="E26" s="16"/>
      <c r="F26" s="14"/>
      <c r="I26" s="4"/>
      <c r="J26" s="4"/>
      <c r="K26" s="8"/>
      <c r="M26" s="60"/>
      <c r="N26" s="49"/>
      <c r="O26" s="49"/>
      <c r="P26" s="66"/>
    </row>
    <row r="27" spans="1:19" ht="13.5" customHeight="1" x14ac:dyDescent="0.25">
      <c r="C27" s="15"/>
      <c r="D27" s="16"/>
      <c r="E27" s="16"/>
      <c r="F27" s="14"/>
      <c r="I27" s="4"/>
      <c r="J27" s="4"/>
      <c r="K27" s="8"/>
      <c r="M27" s="60"/>
      <c r="N27" s="49"/>
      <c r="O27" s="49"/>
      <c r="P27" s="66"/>
    </row>
    <row r="28" spans="1:19" ht="13.5" customHeight="1" x14ac:dyDescent="0.25">
      <c r="A28" s="16" t="s">
        <v>90</v>
      </c>
      <c r="C28" s="15"/>
      <c r="D28" s="16"/>
      <c r="E28" s="16"/>
      <c r="F28" s="14"/>
      <c r="I28" s="4"/>
      <c r="J28" s="4"/>
      <c r="K28" s="8"/>
      <c r="L28" s="29"/>
      <c r="M28" s="36"/>
      <c r="N28" s="18"/>
      <c r="O28" s="18"/>
      <c r="P28" s="18"/>
      <c r="Q28" s="29"/>
    </row>
    <row r="29" spans="1:19" ht="13.5" customHeight="1" x14ac:dyDescent="0.25">
      <c r="A29" s="16"/>
      <c r="C29" s="15"/>
      <c r="D29" s="16"/>
      <c r="E29" s="16"/>
      <c r="F29" s="14"/>
      <c r="I29" s="4"/>
      <c r="J29" s="4"/>
      <c r="K29" s="8"/>
      <c r="L29" s="29"/>
      <c r="M29" s="37"/>
      <c r="N29" s="18"/>
      <c r="O29" s="18"/>
      <c r="P29" s="18"/>
      <c r="Q29" s="29"/>
    </row>
    <row r="30" spans="1:19" ht="13.5" customHeight="1" x14ac:dyDescent="0.25">
      <c r="A30" s="16"/>
      <c r="B30" s="3" t="s">
        <v>109</v>
      </c>
      <c r="E30" s="16"/>
      <c r="F30" s="14"/>
      <c r="I30" s="4"/>
      <c r="J30" s="4"/>
      <c r="K30" s="8"/>
      <c r="N30" s="13"/>
      <c r="O30" s="13"/>
      <c r="P30" s="9"/>
    </row>
    <row r="31" spans="1:19" ht="13.5" customHeight="1" x14ac:dyDescent="0.25">
      <c r="A31" s="16"/>
      <c r="C31" s="15"/>
      <c r="D31" s="3"/>
      <c r="E31" s="16"/>
      <c r="F31" s="14"/>
      <c r="I31" s="4"/>
      <c r="J31" s="4"/>
      <c r="K31" s="8"/>
    </row>
    <row r="32" spans="1:19" ht="13.5" customHeight="1" thickBot="1" x14ac:dyDescent="0.3">
      <c r="C32" s="15"/>
      <c r="D32" s="25" t="s">
        <v>17</v>
      </c>
      <c r="E32" s="25" t="s">
        <v>18</v>
      </c>
      <c r="F32" s="24" t="s">
        <v>23</v>
      </c>
      <c r="G32" s="27" t="s">
        <v>22</v>
      </c>
      <c r="H32" s="25" t="s">
        <v>11</v>
      </c>
      <c r="J32" s="22" t="s">
        <v>15</v>
      </c>
      <c r="L32" s="8"/>
      <c r="N32" s="18"/>
      <c r="O32" s="18"/>
      <c r="P32" s="9"/>
    </row>
    <row r="33" spans="1:20" ht="13.5" customHeight="1" thickBot="1" x14ac:dyDescent="0.3">
      <c r="A33" s="121" t="s">
        <v>110</v>
      </c>
      <c r="C33" s="143"/>
      <c r="D33" s="144">
        <v>311.29300000000001</v>
      </c>
      <c r="E33" s="144">
        <v>289.42</v>
      </c>
      <c r="F33" s="46">
        <f>0.55*D33+0.45*E33</f>
        <v>301.45015000000001</v>
      </c>
      <c r="G33" s="28">
        <f>astm(F33,0)</f>
        <v>301</v>
      </c>
      <c r="H33" t="s">
        <v>10</v>
      </c>
      <c r="J33" s="91" t="s">
        <v>16</v>
      </c>
      <c r="K33" s="97"/>
      <c r="L33" s="97"/>
      <c r="M33" s="97"/>
    </row>
    <row r="34" spans="1:20" ht="13.5" customHeight="1" thickBot="1" x14ac:dyDescent="0.3">
      <c r="A34" s="121" t="s">
        <v>71</v>
      </c>
      <c r="D34" s="19">
        <f>D33*(1-K19)</f>
        <v>164.01088254847645</v>
      </c>
      <c r="E34" s="19">
        <f>E33*(1-L19)</f>
        <v>165.85202836879432</v>
      </c>
      <c r="F34" s="47">
        <f>F33*(1-M19)</f>
        <v>165.68268597673384</v>
      </c>
      <c r="G34" s="134">
        <f>astm(F34,0)</f>
        <v>166</v>
      </c>
      <c r="H34" s="23" t="s">
        <v>10</v>
      </c>
      <c r="J34" s="91" t="s">
        <v>94</v>
      </c>
    </row>
    <row r="35" spans="1:20" ht="13.5" customHeight="1" thickBot="1" x14ac:dyDescent="0.3">
      <c r="A35" s="106" t="s">
        <v>75</v>
      </c>
      <c r="B35" s="107"/>
      <c r="C35" s="107"/>
      <c r="D35" s="19">
        <f>D33*L8</f>
        <v>224.14341172000002</v>
      </c>
      <c r="E35" s="19">
        <f>E33*L8</f>
        <v>208.39397680000002</v>
      </c>
      <c r="F35" s="47">
        <f>F33*L8</f>
        <v>217.05616600600001</v>
      </c>
      <c r="G35" s="58">
        <f>astm(F35,0)</f>
        <v>217</v>
      </c>
      <c r="H35" s="23" t="s">
        <v>10</v>
      </c>
      <c r="I35" s="4"/>
      <c r="J35" s="108" t="s">
        <v>74</v>
      </c>
      <c r="K35" s="109"/>
      <c r="L35" s="109"/>
      <c r="M35" s="103"/>
      <c r="N35" s="13"/>
      <c r="O35" s="31"/>
      <c r="P35" s="30"/>
    </row>
    <row r="36" spans="1:20" ht="13.5" customHeight="1" x14ac:dyDescent="0.25">
      <c r="A36" s="10"/>
      <c r="B36" s="7"/>
      <c r="C36" s="150" t="s">
        <v>112</v>
      </c>
      <c r="D36" s="26"/>
      <c r="E36" s="12"/>
      <c r="F36" s="14"/>
      <c r="I36" s="4"/>
      <c r="J36" s="4"/>
      <c r="K36" s="8"/>
      <c r="L36" s="8"/>
      <c r="N36" s="13"/>
      <c r="O36" s="31"/>
      <c r="P36" s="30"/>
      <c r="Q36" s="34"/>
    </row>
    <row r="37" spans="1:20" ht="13.5" customHeight="1" x14ac:dyDescent="0.25">
      <c r="A37" s="10"/>
      <c r="B37" s="7"/>
      <c r="C37" s="150" t="s">
        <v>113</v>
      </c>
      <c r="D37" s="12"/>
      <c r="E37" s="12"/>
      <c r="F37" s="14"/>
      <c r="I37" s="4"/>
      <c r="J37" s="4"/>
      <c r="K37" s="8"/>
      <c r="L37" s="8"/>
      <c r="N37" s="13"/>
      <c r="O37" s="31"/>
      <c r="P37" s="30"/>
      <c r="Q37" s="35"/>
      <c r="S37" s="32"/>
      <c r="T37" s="32"/>
    </row>
    <row r="38" spans="1:20" ht="13.5" customHeight="1" x14ac:dyDescent="0.25">
      <c r="A38" s="10"/>
      <c r="B38" s="7"/>
      <c r="C38" s="7"/>
      <c r="D38" s="12"/>
      <c r="E38" s="12"/>
      <c r="F38" s="14"/>
      <c r="I38" s="4"/>
      <c r="J38" s="4"/>
      <c r="K38" s="8"/>
      <c r="L38" s="8"/>
      <c r="N38" s="13"/>
      <c r="O38" s="31"/>
      <c r="P38" s="30"/>
      <c r="Q38" s="35"/>
      <c r="S38" s="32"/>
      <c r="T38" s="32"/>
    </row>
    <row r="39" spans="1:20" ht="13.5" customHeight="1" x14ac:dyDescent="0.25">
      <c r="A39" s="10"/>
      <c r="B39" s="7"/>
      <c r="C39" s="7"/>
      <c r="D39" s="17" t="s">
        <v>44</v>
      </c>
      <c r="E39" s="12"/>
      <c r="F39" s="14"/>
      <c r="I39" s="4"/>
      <c r="J39" s="4"/>
      <c r="K39" s="8"/>
      <c r="O39" s="31"/>
      <c r="P39" s="30"/>
      <c r="Q39" s="35"/>
      <c r="S39" s="32"/>
      <c r="T39" s="32"/>
    </row>
    <row r="40" spans="1:20" ht="13.5" customHeight="1" thickBot="1" x14ac:dyDescent="0.3">
      <c r="A40" s="92" t="s">
        <v>51</v>
      </c>
      <c r="B40" s="15"/>
      <c r="C40" s="15"/>
      <c r="D40" s="12"/>
      <c r="E40" s="17"/>
      <c r="F40" s="8"/>
      <c r="I40" s="4"/>
      <c r="J40" s="4"/>
      <c r="K40" s="8"/>
      <c r="O40" s="31"/>
      <c r="P40" s="30"/>
      <c r="Q40" s="35"/>
      <c r="S40" s="32"/>
      <c r="T40" s="32"/>
    </row>
    <row r="41" spans="1:20" ht="13.5" customHeight="1" thickBot="1" x14ac:dyDescent="0.3">
      <c r="A41" s="89" t="s">
        <v>50</v>
      </c>
      <c r="B41" s="90"/>
      <c r="C41" s="88"/>
      <c r="F41" s="70"/>
      <c r="G41" s="135" t="s">
        <v>95</v>
      </c>
      <c r="H41" s="146">
        <v>6500</v>
      </c>
      <c r="I41" s="71"/>
      <c r="J41" s="91" t="s">
        <v>115</v>
      </c>
      <c r="O41" s="31"/>
      <c r="Q41" s="35"/>
      <c r="S41" s="32"/>
      <c r="T41" s="32"/>
    </row>
    <row r="42" spans="1:20" ht="13.5" customHeight="1" thickBot="1" x14ac:dyDescent="0.3">
      <c r="A42" t="s">
        <v>0</v>
      </c>
      <c r="B42">
        <v>4.091E-3</v>
      </c>
      <c r="D42" s="3"/>
      <c r="G42" s="96" t="s">
        <v>96</v>
      </c>
      <c r="H42" s="147">
        <v>0.13</v>
      </c>
      <c r="I42" s="70" t="s">
        <v>13</v>
      </c>
      <c r="J42" s="91" t="s">
        <v>116</v>
      </c>
      <c r="Q42" s="35"/>
      <c r="S42" s="32"/>
      <c r="T42" s="32"/>
    </row>
    <row r="43" spans="1:20" ht="13.5" customHeight="1" x14ac:dyDescent="0.25">
      <c r="A43" t="s">
        <v>1</v>
      </c>
      <c r="B43">
        <v>1.1600999999999999</v>
      </c>
      <c r="D43" s="3"/>
      <c r="E43" s="99" t="s">
        <v>56</v>
      </c>
      <c r="K43" s="72"/>
      <c r="L43" s="73"/>
      <c r="Q43" s="35"/>
      <c r="S43" s="32"/>
      <c r="T43" s="32"/>
    </row>
    <row r="44" spans="1:20" ht="13.5" customHeight="1" x14ac:dyDescent="0.25">
      <c r="A44" t="s">
        <v>2</v>
      </c>
      <c r="B44">
        <v>3.1909999999999998E-3</v>
      </c>
      <c r="D44" s="23" t="s">
        <v>45</v>
      </c>
      <c r="H44">
        <f>100/M21</f>
        <v>3.4243408999852751</v>
      </c>
      <c r="I44" s="23" t="s">
        <v>46</v>
      </c>
      <c r="M44" s="100" t="s">
        <v>57</v>
      </c>
      <c r="N44" s="75"/>
      <c r="O44" s="100" t="s">
        <v>57</v>
      </c>
      <c r="Q44" s="35"/>
      <c r="S44" s="32"/>
      <c r="T44" s="32"/>
    </row>
    <row r="45" spans="1:20" ht="13.5" customHeight="1" x14ac:dyDescent="0.25">
      <c r="A45" t="s">
        <v>3</v>
      </c>
      <c r="B45">
        <v>1.2945</v>
      </c>
      <c r="M45" s="7" t="s">
        <v>25</v>
      </c>
      <c r="N45" s="75"/>
      <c r="O45" s="76" t="s">
        <v>27</v>
      </c>
      <c r="Q45" s="35"/>
      <c r="S45" s="32"/>
      <c r="T45" s="32"/>
    </row>
    <row r="46" spans="1:20" ht="13.5" customHeight="1" x14ac:dyDescent="0.25">
      <c r="F46" s="5"/>
      <c r="H46" s="152" t="s">
        <v>42</v>
      </c>
      <c r="I46" s="152"/>
      <c r="M46" s="7" t="s">
        <v>5</v>
      </c>
      <c r="N46" s="31"/>
      <c r="O46" s="76" t="s">
        <v>28</v>
      </c>
      <c r="Q46" s="59"/>
      <c r="S46" s="32"/>
      <c r="T46" s="32"/>
    </row>
    <row r="47" spans="1:20" ht="13.5" customHeight="1" thickBot="1" x14ac:dyDescent="0.3">
      <c r="A47" s="94" t="s">
        <v>54</v>
      </c>
      <c r="B47" s="38"/>
      <c r="C47" s="39"/>
      <c r="E47" s="22" t="s">
        <v>40</v>
      </c>
      <c r="F47" s="21" t="s">
        <v>12</v>
      </c>
      <c r="G47" s="22" t="s">
        <v>11</v>
      </c>
      <c r="H47" s="153" t="s">
        <v>41</v>
      </c>
      <c r="I47" s="153"/>
      <c r="J47" s="21" t="s">
        <v>14</v>
      </c>
      <c r="M47" s="21" t="s">
        <v>101</v>
      </c>
      <c r="N47" s="31"/>
      <c r="O47" s="137" t="s">
        <v>102</v>
      </c>
      <c r="Q47" s="59"/>
      <c r="S47" s="32"/>
      <c r="T47" s="32"/>
    </row>
    <row r="48" spans="1:20" ht="13.5" customHeight="1" thickBot="1" x14ac:dyDescent="0.3">
      <c r="A48" s="93" t="s">
        <v>53</v>
      </c>
      <c r="B48" s="29"/>
      <c r="C48" s="41"/>
      <c r="E48" s="81">
        <v>15000</v>
      </c>
      <c r="F48" s="82">
        <f>H42</f>
        <v>0.13</v>
      </c>
      <c r="G48" t="s">
        <v>13</v>
      </c>
      <c r="H48" s="86">
        <f>150*F48*M18</f>
        <v>746.84999999999991</v>
      </c>
      <c r="I48" s="83"/>
      <c r="J48" s="91" t="s">
        <v>52</v>
      </c>
      <c r="K48" s="6"/>
      <c r="L48" s="6"/>
      <c r="M48" s="48">
        <f>astm(H48/50,0) *50</f>
        <v>750</v>
      </c>
      <c r="N48" s="31"/>
      <c r="O48" s="54">
        <f>$H$41 - 5*M48</f>
        <v>2750</v>
      </c>
      <c r="Q48" s="59"/>
      <c r="S48" s="32"/>
      <c r="T48" s="32"/>
    </row>
    <row r="49" spans="1:20" ht="13.5" customHeight="1" thickBot="1" x14ac:dyDescent="0.3">
      <c r="A49" s="40"/>
      <c r="B49" s="29"/>
      <c r="C49" s="41"/>
      <c r="E49" s="81">
        <v>15000</v>
      </c>
      <c r="F49" s="82">
        <f>H42</f>
        <v>0.13</v>
      </c>
      <c r="G49" t="s">
        <v>13</v>
      </c>
      <c r="H49" s="84">
        <f>15000*F49/H44</f>
        <v>569.45265000000006</v>
      </c>
      <c r="I49" s="85"/>
      <c r="J49" s="110" t="s">
        <v>76</v>
      </c>
      <c r="K49" s="111"/>
      <c r="L49" s="103"/>
      <c r="M49" s="55">
        <f>astm(H49/50,0) *50</f>
        <v>550</v>
      </c>
      <c r="N49" s="56"/>
      <c r="O49" s="57">
        <f>$H$41 - 5*M49</f>
        <v>3750</v>
      </c>
      <c r="Q49" s="59"/>
      <c r="S49" s="32"/>
      <c r="T49" s="32"/>
    </row>
    <row r="50" spans="1:20" ht="13.5" customHeight="1" x14ac:dyDescent="0.25">
      <c r="A50" s="42">
        <v>33705</v>
      </c>
      <c r="B50" s="29" t="s">
        <v>21</v>
      </c>
      <c r="C50" s="41"/>
      <c r="Q50" s="59"/>
      <c r="S50" s="32"/>
      <c r="T50" s="32"/>
    </row>
    <row r="51" spans="1:20" ht="13.5" customHeight="1" x14ac:dyDescent="0.25">
      <c r="A51" s="43"/>
      <c r="B51" s="44"/>
      <c r="C51" s="45"/>
      <c r="F51" s="20"/>
      <c r="G51" t="s">
        <v>26</v>
      </c>
      <c r="I51" s="77"/>
      <c r="J51" s="78"/>
      <c r="K51" s="79"/>
      <c r="L51" s="138" t="s">
        <v>104</v>
      </c>
      <c r="N51" s="139"/>
      <c r="O51" s="140"/>
      <c r="P51" s="141"/>
      <c r="Q51" s="141"/>
      <c r="S51" s="32"/>
      <c r="T51" s="32"/>
    </row>
    <row r="52" spans="1:20" ht="13.5" customHeight="1" x14ac:dyDescent="0.25">
      <c r="L52" t="s">
        <v>103</v>
      </c>
      <c r="Q52" s="35"/>
      <c r="S52" s="32"/>
      <c r="T52" s="32"/>
    </row>
    <row r="53" spans="1:20" ht="13.5" customHeight="1" x14ac:dyDescent="0.25">
      <c r="L53" t="s">
        <v>100</v>
      </c>
      <c r="Q53" s="35"/>
      <c r="S53" s="32"/>
      <c r="T53" s="32"/>
    </row>
    <row r="54" spans="1:20" ht="13.5" customHeight="1" x14ac:dyDescent="0.25">
      <c r="Q54" s="35"/>
      <c r="S54" s="32"/>
      <c r="T54" s="32"/>
    </row>
  </sheetData>
  <mergeCells count="4">
    <mergeCell ref="H46:I46"/>
    <mergeCell ref="H47:I47"/>
    <mergeCell ref="D14:F14"/>
    <mergeCell ref="K15:M15"/>
  </mergeCells>
  <phoneticPr fontId="2" type="noConversion"/>
  <conditionalFormatting sqref="L8">
    <cfRule type="expression" dxfId="11" priority="5">
      <formula>L8*100000&lt;&gt;INT(L8*100000)</formula>
    </cfRule>
  </conditionalFormatting>
  <conditionalFormatting sqref="D18:E18">
    <cfRule type="expression" dxfId="10" priority="4">
      <formula>D18*100000&lt;&gt;INT(D18*100000)</formula>
    </cfRule>
  </conditionalFormatting>
  <conditionalFormatting sqref="D33:E33">
    <cfRule type="expression" dxfId="9" priority="3">
      <formula>D33*1000&lt;&gt;INT(D33*1000)</formula>
    </cfRule>
  </conditionalFormatting>
  <conditionalFormatting sqref="H41">
    <cfRule type="expression" dxfId="8" priority="2">
      <formula>H41&lt;&gt;INT(H41)</formula>
    </cfRule>
  </conditionalFormatting>
  <conditionalFormatting sqref="H42">
    <cfRule type="expression" dxfId="7" priority="1">
      <formula>H42*100&lt;&gt;INT(H42*100)</formula>
    </cfRule>
  </conditionalFormatting>
  <dataValidations count="4">
    <dataValidation type="whole" allowBlank="1" showInputMessage="1" showErrorMessage="1" sqref="H41" xr:uid="{4C0D29AF-43D0-4EF7-B4C1-E13ACCBA018E}">
      <formula1>999</formula1>
      <formula2>99999</formula2>
    </dataValidation>
    <dataValidation type="custom" allowBlank="1" showInputMessage="1" showErrorMessage="1" sqref="D18 E18 L8" xr:uid="{ABCA921A-D373-4BA4-8334-F97F891905A0}">
      <formula1>OR(IF(ISERROR(FIND(".",D8)),LEN(D8)&gt;0,LEN(MID(D8,FIND(".",D8)+1,25))&lt;6))</formula1>
    </dataValidation>
    <dataValidation type="custom" allowBlank="1" showInputMessage="1" showErrorMessage="1" sqref="D33 E33" xr:uid="{CAB786ED-804C-4560-8A13-E0266F537B1B}">
      <formula1>OR(IF(ISERROR(FIND(".",D33)),LEN(D33)&gt;0,LEN(MID(D33,FIND(".",D33)+1,25))&lt;4))</formula1>
    </dataValidation>
    <dataValidation type="custom" allowBlank="1" showInputMessage="1" showErrorMessage="1" sqref="H42" xr:uid="{BBC48C15-D566-4B81-AD10-AC266AA8BB8E}">
      <formula1>OR(IF(ISERROR(FIND(".",H42)),LEN(H42)&gt;0,LEN(MID(H42,FIND(".",H42)+1,25))&lt;3))</formula1>
    </dataValidation>
  </dataValidations>
  <printOptions horizontalCentered="1"/>
  <pageMargins left="0.45" right="0.45" top="1" bottom="1" header="0.5" footer="0.5"/>
  <pageSetup scale="59" orientation="landscape" r:id="rId1"/>
  <headerFooter alignWithMargins="0">
    <oddHeader>&amp;L&amp;G&amp;C&amp;"Calibri,Bold"&amp;11EPA 2022 Generic EV Label Calculator &amp;R&amp;"Calibri,Regular"&amp;11Office of Transportation and Air Quality
October 2021</oddHead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3CFD5-5926-43DE-80F8-CD778348A0C2}">
  <sheetPr>
    <pageSetUpPr fitToPage="1"/>
  </sheetPr>
  <dimension ref="A1:T56"/>
  <sheetViews>
    <sheetView zoomScale="80" zoomScaleNormal="80" workbookViewId="0"/>
  </sheetViews>
  <sheetFormatPr defaultRowHeight="13.5" customHeight="1" x14ac:dyDescent="0.25"/>
  <cols>
    <col min="1" max="1" width="13" customWidth="1"/>
    <col min="2" max="2" width="13.6640625" customWidth="1"/>
    <col min="3" max="3" width="24.33203125" customWidth="1"/>
    <col min="4" max="4" width="12" customWidth="1"/>
    <col min="5" max="5" width="13.5546875" customWidth="1"/>
    <col min="6" max="6" width="11.6640625" customWidth="1"/>
    <col min="7" max="7" width="12" customWidth="1"/>
    <col min="8" max="8" width="11.109375" customWidth="1"/>
    <col min="10" max="10" width="27.109375" customWidth="1"/>
    <col min="11" max="11" width="10.88671875" bestFit="1" customWidth="1"/>
    <col min="12" max="12" width="11.33203125" customWidth="1"/>
    <col min="13" max="13" width="10.88671875" customWidth="1"/>
  </cols>
  <sheetData>
    <row r="1" spans="1:16" ht="18" customHeight="1" x14ac:dyDescent="0.3">
      <c r="C1" s="1" t="s">
        <v>89</v>
      </c>
    </row>
    <row r="2" spans="1:16" ht="13.5" customHeight="1" x14ac:dyDescent="0.3">
      <c r="E2" s="1"/>
    </row>
    <row r="3" spans="1:16" ht="13.5" customHeight="1" x14ac:dyDescent="0.25">
      <c r="A3" s="74" t="s">
        <v>48</v>
      </c>
      <c r="D3" s="16" t="s">
        <v>66</v>
      </c>
    </row>
    <row r="4" spans="1:16" ht="13.5" customHeight="1" x14ac:dyDescent="0.3">
      <c r="A4" s="16" t="s">
        <v>31</v>
      </c>
      <c r="C4" s="95">
        <v>2022</v>
      </c>
      <c r="E4" s="1"/>
    </row>
    <row r="5" spans="1:16" ht="13.5" customHeight="1" x14ac:dyDescent="0.3">
      <c r="A5" s="16" t="s">
        <v>30</v>
      </c>
      <c r="C5" s="87" t="s">
        <v>49</v>
      </c>
      <c r="E5" s="1"/>
      <c r="F5" s="91" t="s">
        <v>79</v>
      </c>
    </row>
    <row r="6" spans="1:16" ht="13.5" customHeight="1" x14ac:dyDescent="0.3">
      <c r="A6" s="16" t="s">
        <v>32</v>
      </c>
      <c r="C6" s="87" t="s">
        <v>47</v>
      </c>
      <c r="E6" s="1"/>
      <c r="F6" t="s">
        <v>80</v>
      </c>
      <c r="L6" s="97" t="s">
        <v>58</v>
      </c>
      <c r="N6" s="98" t="s">
        <v>117</v>
      </c>
    </row>
    <row r="7" spans="1:16" ht="13.5" customHeight="1" thickBot="1" x14ac:dyDescent="0.35">
      <c r="A7" s="16" t="s">
        <v>33</v>
      </c>
      <c r="C7" s="96" t="s">
        <v>55</v>
      </c>
      <c r="E7" s="1"/>
    </row>
    <row r="8" spans="1:16" ht="13.5" customHeight="1" thickBot="1" x14ac:dyDescent="0.35">
      <c r="A8" s="16"/>
      <c r="C8" s="96"/>
      <c r="E8" s="1"/>
      <c r="K8" s="87" t="s">
        <v>62</v>
      </c>
      <c r="L8" s="151">
        <v>0.72004000000000001</v>
      </c>
      <c r="M8" s="74" t="s">
        <v>105</v>
      </c>
    </row>
    <row r="9" spans="1:16" ht="13.5" customHeight="1" x14ac:dyDescent="0.3">
      <c r="A9" s="16"/>
      <c r="C9" s="96"/>
      <c r="E9" s="1"/>
      <c r="K9" s="87" t="s">
        <v>65</v>
      </c>
      <c r="M9" s="70" t="s">
        <v>113</v>
      </c>
    </row>
    <row r="11" spans="1:16" ht="13.5" customHeight="1" x14ac:dyDescent="0.25">
      <c r="A11" s="16" t="s">
        <v>91</v>
      </c>
    </row>
    <row r="12" spans="1:16" ht="13.5" customHeight="1" x14ac:dyDescent="0.25">
      <c r="O12" s="11"/>
    </row>
    <row r="13" spans="1:16" ht="13.5" customHeight="1" x14ac:dyDescent="0.25">
      <c r="B13" s="3" t="s">
        <v>106</v>
      </c>
      <c r="K13" s="33"/>
      <c r="L13" s="11"/>
      <c r="O13" s="15"/>
      <c r="P13" s="15"/>
    </row>
    <row r="14" spans="1:16" ht="13.5" customHeight="1" x14ac:dyDescent="0.25">
      <c r="D14" s="154" t="s">
        <v>87</v>
      </c>
      <c r="E14" s="155"/>
      <c r="F14" s="155"/>
      <c r="G14" s="3"/>
      <c r="H14" s="3"/>
      <c r="J14" s="2"/>
      <c r="K14" s="2"/>
      <c r="L14" s="2"/>
      <c r="M14" s="2"/>
      <c r="N14" s="2"/>
    </row>
    <row r="15" spans="1:16" ht="13.5" customHeight="1" x14ac:dyDescent="0.25">
      <c r="D15" s="69" t="s">
        <v>36</v>
      </c>
      <c r="E15" s="10" t="s">
        <v>35</v>
      </c>
      <c r="F15" s="10" t="s">
        <v>34</v>
      </c>
      <c r="I15" s="67"/>
      <c r="J15" s="2"/>
      <c r="K15" s="154" t="s">
        <v>86</v>
      </c>
      <c r="L15" s="155"/>
      <c r="M15" s="155"/>
      <c r="N15" s="69"/>
    </row>
    <row r="16" spans="1:16" ht="13.5" customHeight="1" x14ac:dyDescent="0.25">
      <c r="A16" s="2"/>
      <c r="D16" s="68" t="s">
        <v>37</v>
      </c>
      <c r="E16" s="68" t="s">
        <v>38</v>
      </c>
      <c r="F16" s="2" t="s">
        <v>4</v>
      </c>
      <c r="G16" s="2" t="s">
        <v>11</v>
      </c>
      <c r="H16" s="2"/>
      <c r="I16" s="63"/>
      <c r="K16" s="69" t="s">
        <v>36</v>
      </c>
      <c r="L16" s="10" t="s">
        <v>85</v>
      </c>
      <c r="M16" s="10" t="s">
        <v>34</v>
      </c>
      <c r="N16" s="69" t="s">
        <v>11</v>
      </c>
    </row>
    <row r="17" spans="1:20" ht="13.5" customHeight="1" thickBot="1" x14ac:dyDescent="0.3">
      <c r="A17" s="2"/>
      <c r="D17" s="2" t="s">
        <v>24</v>
      </c>
      <c r="E17" t="s">
        <v>24</v>
      </c>
      <c r="F17" s="2"/>
      <c r="G17" s="2"/>
      <c r="H17" s="2"/>
      <c r="I17" s="63"/>
      <c r="J17" s="102" t="s">
        <v>81</v>
      </c>
      <c r="K17" s="132">
        <f>astm((1/((B45)+(B46/D19))), 1)</f>
        <v>95.1</v>
      </c>
      <c r="L17" s="132">
        <f>astm((1/((B47)+(B48/E19))), 1)</f>
        <v>80.8</v>
      </c>
      <c r="M17" s="124">
        <f>astm((1/((0.55/K17)+(0.45/L17))), 1)</f>
        <v>88.1</v>
      </c>
      <c r="N17" s="91" t="s">
        <v>9</v>
      </c>
      <c r="O17" t="s">
        <v>98</v>
      </c>
    </row>
    <row r="18" spans="1:20" ht="13.5" customHeight="1" thickBot="1" x14ac:dyDescent="0.3">
      <c r="B18" t="s">
        <v>6</v>
      </c>
      <c r="C18" s="121" t="s">
        <v>111</v>
      </c>
      <c r="D18" s="145">
        <v>18.670500000000001</v>
      </c>
      <c r="E18" s="145">
        <v>23.906300000000002</v>
      </c>
      <c r="F18" s="14">
        <f>(0.55*D18+0.45*E18)</f>
        <v>21.026610000000005</v>
      </c>
      <c r="G18" t="s">
        <v>7</v>
      </c>
      <c r="I18" s="64"/>
      <c r="J18" s="102" t="s">
        <v>82</v>
      </c>
      <c r="K18" s="132">
        <f>astm((0.1*A53/K17), 1)</f>
        <v>35.4</v>
      </c>
      <c r="L18" s="132">
        <f>astm((0.1*A53/L17), 1)</f>
        <v>41.7</v>
      </c>
      <c r="M18" s="132">
        <f>ROUND((0.1*A53/M17), 1)</f>
        <v>38.299999999999997</v>
      </c>
      <c r="N18" s="91" t="s">
        <v>99</v>
      </c>
      <c r="O18" s="23"/>
    </row>
    <row r="19" spans="1:20" ht="13.5" customHeight="1" x14ac:dyDescent="0.25">
      <c r="B19" t="s">
        <v>6</v>
      </c>
      <c r="C19" s="15" t="s">
        <v>8</v>
      </c>
      <c r="D19" s="16">
        <f>astm((A53/(10*D18)),1)</f>
        <v>180.5</v>
      </c>
      <c r="E19" s="17">
        <f>astm((A53/(10*E18)),1)</f>
        <v>141</v>
      </c>
      <c r="F19" s="14">
        <f>astm((1/((0.55/D19)+(0.45/E19))), 4)</f>
        <v>160.2929</v>
      </c>
      <c r="G19" t="s">
        <v>9</v>
      </c>
      <c r="I19" s="65"/>
      <c r="J19" s="102" t="s">
        <v>83</v>
      </c>
      <c r="K19" s="133">
        <f>(D19-K17)/D19</f>
        <v>0.47313019390581723</v>
      </c>
      <c r="L19" s="133">
        <f>(E19-L17)/E19</f>
        <v>0.42695035460992908</v>
      </c>
      <c r="M19" s="133">
        <f>(F19-M17)/F19</f>
        <v>0.45038114601457713</v>
      </c>
      <c r="N19" s="91" t="s">
        <v>19</v>
      </c>
      <c r="O19" t="s">
        <v>98</v>
      </c>
    </row>
    <row r="20" spans="1:20" ht="13.5" customHeight="1" x14ac:dyDescent="0.25">
      <c r="C20" s="150" t="s">
        <v>108</v>
      </c>
      <c r="D20" s="16"/>
      <c r="E20" s="16"/>
      <c r="F20" s="14"/>
      <c r="H20" s="103"/>
      <c r="I20" s="104"/>
      <c r="J20" s="105" t="s">
        <v>84</v>
      </c>
      <c r="K20" s="62">
        <f>L8*D19</f>
        <v>129.96722</v>
      </c>
      <c r="L20" s="62">
        <f>L8*E19</f>
        <v>101.52564</v>
      </c>
      <c r="M20" s="62">
        <f>L8*F19</f>
        <v>115.417299716</v>
      </c>
      <c r="N20" s="6" t="s">
        <v>97</v>
      </c>
    </row>
    <row r="21" spans="1:20" ht="13.5" customHeight="1" x14ac:dyDescent="0.25">
      <c r="C21" s="150" t="s">
        <v>113</v>
      </c>
      <c r="D21" s="16"/>
      <c r="E21" s="16"/>
      <c r="F21" s="14"/>
      <c r="I21" s="4"/>
      <c r="J21" s="102" t="s">
        <v>82</v>
      </c>
      <c r="K21" s="53">
        <f>astm((0.1*A53/K20), 4)</f>
        <v>25.933499999999999</v>
      </c>
      <c r="L21" s="53">
        <f>astm((0.1*$A$53/$L$20), 4)</f>
        <v>33.198500000000003</v>
      </c>
      <c r="M21" s="53">
        <f>astm((0.1*$A$53/$M$20), 4)</f>
        <v>29.2027</v>
      </c>
      <c r="N21" s="6" t="s">
        <v>64</v>
      </c>
      <c r="O21" s="6"/>
      <c r="S21" s="6"/>
    </row>
    <row r="22" spans="1:20" ht="13.5" customHeight="1" x14ac:dyDescent="0.25">
      <c r="C22" s="15"/>
      <c r="D22" s="16"/>
      <c r="E22" s="16"/>
      <c r="F22" s="14"/>
      <c r="I22" s="4"/>
      <c r="K22" s="13"/>
      <c r="L22" s="31"/>
      <c r="M22" s="19"/>
    </row>
    <row r="23" spans="1:20" ht="13.5" customHeight="1" thickBot="1" x14ac:dyDescent="0.3">
      <c r="C23" s="15"/>
      <c r="D23" s="16"/>
      <c r="E23" s="16"/>
      <c r="F23" s="14"/>
      <c r="I23" s="4"/>
      <c r="J23" s="61" t="s">
        <v>92</v>
      </c>
      <c r="K23" s="13"/>
      <c r="L23" s="31"/>
      <c r="M23" s="19"/>
    </row>
    <row r="24" spans="1:20" ht="13.5" customHeight="1" thickBot="1" x14ac:dyDescent="0.3">
      <c r="C24" s="15"/>
      <c r="D24" s="16"/>
      <c r="E24" s="16"/>
      <c r="F24" s="127"/>
      <c r="G24" s="128"/>
      <c r="H24" s="128"/>
      <c r="I24" s="129"/>
      <c r="J24" s="130" t="s">
        <v>72</v>
      </c>
      <c r="K24" s="50">
        <f t="shared" ref="K24:M25" si="0">astm(K20,0)</f>
        <v>130</v>
      </c>
      <c r="L24" s="51">
        <f t="shared" si="0"/>
        <v>102</v>
      </c>
      <c r="M24" s="52">
        <f>astm(M20,0)</f>
        <v>115</v>
      </c>
    </row>
    <row r="25" spans="1:20" ht="13.5" customHeight="1" thickBot="1" x14ac:dyDescent="0.3">
      <c r="C25" s="15"/>
      <c r="D25" s="16"/>
      <c r="E25" s="16"/>
      <c r="F25" s="127"/>
      <c r="G25" s="128"/>
      <c r="H25" s="128"/>
      <c r="I25" s="129"/>
      <c r="J25" s="131" t="s">
        <v>73</v>
      </c>
      <c r="K25" s="49">
        <f t="shared" si="0"/>
        <v>26</v>
      </c>
      <c r="L25" s="49">
        <f t="shared" si="0"/>
        <v>33</v>
      </c>
      <c r="M25" s="114">
        <f t="shared" si="0"/>
        <v>29</v>
      </c>
    </row>
    <row r="26" spans="1:20" ht="13.5" customHeight="1" thickBot="1" x14ac:dyDescent="0.3">
      <c r="C26" s="15"/>
      <c r="D26" s="16"/>
      <c r="E26" s="16"/>
      <c r="F26" s="113"/>
      <c r="G26" s="97"/>
      <c r="H26" s="97"/>
      <c r="I26" s="112"/>
      <c r="J26" s="96" t="s">
        <v>69</v>
      </c>
      <c r="K26" s="118">
        <f>IF(M26="","",astm(L8*D19*M26/M20,0))</f>
        <v>113</v>
      </c>
      <c r="L26" s="119">
        <f>IF(M26="","",astm(L8*E19*M26/M20,0))</f>
        <v>88</v>
      </c>
      <c r="M26" s="148">
        <v>100</v>
      </c>
      <c r="N26" s="74" t="s">
        <v>78</v>
      </c>
      <c r="T26" s="8"/>
    </row>
    <row r="27" spans="1:20" ht="13.5" customHeight="1" thickBot="1" x14ac:dyDescent="0.3">
      <c r="C27" s="15"/>
      <c r="D27" s="16"/>
      <c r="E27" s="16"/>
      <c r="F27" s="113"/>
      <c r="G27" s="97"/>
      <c r="H27" s="97"/>
      <c r="I27" s="112"/>
      <c r="J27" s="115" t="s">
        <v>68</v>
      </c>
      <c r="K27" s="120">
        <f>IF(M26="","",astm((A53*0.1)/astm((L8*D19*M26/M20),4),0))</f>
        <v>30</v>
      </c>
      <c r="L27" s="120">
        <f>IF(M26="","",astm((A53*0.1)/astm((L8*E19*M26/M20),4),0))</f>
        <v>38</v>
      </c>
      <c r="M27" s="119">
        <f>IF(M26="","",astm((A53*0.1)/astm((L8*F19*M26/M20),4),0))</f>
        <v>34</v>
      </c>
      <c r="N27" s="74" t="s">
        <v>70</v>
      </c>
      <c r="T27" s="8"/>
    </row>
    <row r="28" spans="1:20" ht="13.5" customHeight="1" x14ac:dyDescent="0.25">
      <c r="C28" s="15"/>
      <c r="D28" s="16"/>
      <c r="E28" s="16"/>
      <c r="F28" s="14"/>
      <c r="I28" s="4"/>
      <c r="J28" s="4"/>
      <c r="K28" s="8"/>
      <c r="M28" s="60"/>
      <c r="N28" s="49"/>
      <c r="O28" s="49"/>
      <c r="P28" s="66"/>
    </row>
    <row r="29" spans="1:20" ht="13.5" customHeight="1" x14ac:dyDescent="0.25">
      <c r="C29" s="15"/>
      <c r="D29" s="16"/>
      <c r="E29" s="16"/>
      <c r="F29" s="14"/>
      <c r="I29" s="4"/>
      <c r="J29" s="4"/>
      <c r="K29" s="8"/>
      <c r="M29" s="60"/>
      <c r="N29" s="49"/>
      <c r="O29" s="49"/>
      <c r="P29" s="66"/>
    </row>
    <row r="30" spans="1:20" ht="13.5" customHeight="1" x14ac:dyDescent="0.25">
      <c r="A30" s="16" t="s">
        <v>90</v>
      </c>
      <c r="C30" s="15"/>
      <c r="D30" s="16"/>
      <c r="E30" s="16"/>
      <c r="F30" s="14"/>
      <c r="I30" s="4"/>
      <c r="J30" s="4"/>
      <c r="K30" s="8"/>
      <c r="L30" s="29"/>
      <c r="M30" s="36"/>
      <c r="N30" s="18"/>
      <c r="O30" s="18"/>
      <c r="P30" s="18"/>
      <c r="Q30" s="29"/>
    </row>
    <row r="31" spans="1:20" ht="13.5" customHeight="1" x14ac:dyDescent="0.25">
      <c r="A31" s="16"/>
      <c r="C31" s="15"/>
      <c r="D31" s="16"/>
      <c r="E31" s="16"/>
      <c r="F31" s="14"/>
      <c r="I31" s="4"/>
      <c r="J31" s="4"/>
      <c r="K31" s="8"/>
      <c r="L31" s="29"/>
      <c r="M31" s="37"/>
      <c r="N31" s="18"/>
      <c r="O31" s="18"/>
      <c r="P31" s="18"/>
      <c r="Q31" s="29"/>
    </row>
    <row r="32" spans="1:20" ht="13.5" customHeight="1" x14ac:dyDescent="0.25">
      <c r="A32" s="16"/>
      <c r="B32" s="3" t="s">
        <v>20</v>
      </c>
      <c r="E32" s="16"/>
      <c r="F32" s="14"/>
      <c r="I32" s="4"/>
      <c r="J32" s="4"/>
      <c r="K32" s="8"/>
      <c r="N32" s="13"/>
      <c r="O32" s="13"/>
      <c r="P32" s="9"/>
    </row>
    <row r="33" spans="1:19" ht="13.5" customHeight="1" x14ac:dyDescent="0.25">
      <c r="A33" s="16"/>
      <c r="C33" s="15"/>
      <c r="D33" s="3"/>
      <c r="E33" s="16"/>
      <c r="F33" s="14"/>
      <c r="I33" s="4"/>
      <c r="J33" s="4"/>
      <c r="K33" s="8"/>
    </row>
    <row r="34" spans="1:19" ht="13.5" customHeight="1" thickBot="1" x14ac:dyDescent="0.3">
      <c r="C34" s="15"/>
      <c r="D34" s="25" t="s">
        <v>17</v>
      </c>
      <c r="E34" s="25" t="s">
        <v>18</v>
      </c>
      <c r="F34" s="24" t="s">
        <v>23</v>
      </c>
      <c r="G34" s="27" t="s">
        <v>22</v>
      </c>
      <c r="H34" s="25" t="s">
        <v>11</v>
      </c>
      <c r="J34" s="22" t="s">
        <v>15</v>
      </c>
      <c r="L34" s="8"/>
      <c r="N34" s="18"/>
      <c r="O34" s="18"/>
      <c r="P34" s="9"/>
    </row>
    <row r="35" spans="1:19" ht="13.5" customHeight="1" thickBot="1" x14ac:dyDescent="0.3">
      <c r="A35" s="121" t="s">
        <v>110</v>
      </c>
      <c r="D35" s="144">
        <v>311.29300000000001</v>
      </c>
      <c r="E35" s="144">
        <v>289.42</v>
      </c>
      <c r="F35" s="46">
        <f>0.55*D35+0.45*E35</f>
        <v>301.45015000000001</v>
      </c>
      <c r="G35" s="28">
        <f>astm(F35,0)</f>
        <v>301</v>
      </c>
      <c r="H35" t="s">
        <v>10</v>
      </c>
      <c r="J35" t="s">
        <v>16</v>
      </c>
    </row>
    <row r="36" spans="1:19" ht="13.5" customHeight="1" thickBot="1" x14ac:dyDescent="0.3">
      <c r="A36" s="121" t="s">
        <v>71</v>
      </c>
      <c r="D36" s="19">
        <f>D35*(1-K19)</f>
        <v>164.01088254847645</v>
      </c>
      <c r="E36" s="19">
        <f>E35*(1-L19)</f>
        <v>165.85202836879432</v>
      </c>
      <c r="F36" s="47">
        <f>F35*(1-M19)</f>
        <v>165.68268597673384</v>
      </c>
      <c r="G36" s="134">
        <f>astm(F36,0)</f>
        <v>166</v>
      </c>
      <c r="H36" s="23" t="s">
        <v>10</v>
      </c>
      <c r="J36" s="91" t="s">
        <v>94</v>
      </c>
    </row>
    <row r="37" spans="1:19" ht="13.5" customHeight="1" thickBot="1" x14ac:dyDescent="0.3">
      <c r="A37" s="106" t="s">
        <v>75</v>
      </c>
      <c r="B37" s="107"/>
      <c r="C37" s="107"/>
      <c r="D37" s="19">
        <f>D35*L8</f>
        <v>224.14341172000002</v>
      </c>
      <c r="E37" s="19">
        <f>E35*L8</f>
        <v>208.39397680000002</v>
      </c>
      <c r="F37" s="47">
        <f>F35*L8</f>
        <v>217.05616600600001</v>
      </c>
      <c r="G37" s="58">
        <f>astm(F37,0)</f>
        <v>217</v>
      </c>
      <c r="H37" s="23" t="s">
        <v>10</v>
      </c>
      <c r="I37" s="4"/>
      <c r="J37" s="108" t="s">
        <v>74</v>
      </c>
      <c r="K37" s="109"/>
      <c r="L37" s="109"/>
      <c r="M37" s="103"/>
      <c r="N37" s="13"/>
      <c r="O37" s="31"/>
      <c r="P37" s="30"/>
    </row>
    <row r="38" spans="1:19" ht="13.5" customHeight="1" thickBot="1" x14ac:dyDescent="0.3">
      <c r="A38" s="10"/>
      <c r="B38" s="88"/>
      <c r="C38" s="88"/>
      <c r="D38" s="124">
        <f>D37*F38/F37</f>
        <v>206.53033345646037</v>
      </c>
      <c r="E38" s="124">
        <f>E37*F38/F37</f>
        <v>192.01848133099287</v>
      </c>
      <c r="F38" s="124">
        <f>G38</f>
        <v>200</v>
      </c>
      <c r="G38" s="149">
        <v>200</v>
      </c>
      <c r="H38" s="91" t="s">
        <v>67</v>
      </c>
      <c r="I38" s="116" t="s">
        <v>93</v>
      </c>
      <c r="J38" s="116"/>
      <c r="K38" s="116"/>
      <c r="L38" s="116"/>
      <c r="M38" s="116"/>
      <c r="N38" s="116"/>
      <c r="O38" s="31"/>
      <c r="P38" s="30"/>
      <c r="Q38" s="34"/>
    </row>
    <row r="39" spans="1:19" ht="13.5" customHeight="1" x14ac:dyDescent="0.25">
      <c r="A39" s="10"/>
      <c r="B39" s="88"/>
      <c r="C39" s="150" t="s">
        <v>112</v>
      </c>
      <c r="D39" s="12"/>
      <c r="E39" s="136"/>
      <c r="F39" s="113"/>
      <c r="G39" s="122"/>
      <c r="I39" s="4"/>
      <c r="J39" s="4"/>
      <c r="K39" s="8"/>
      <c r="L39" s="8"/>
      <c r="N39" s="13"/>
      <c r="O39" s="31"/>
      <c r="P39" s="30"/>
      <c r="Q39" s="35"/>
      <c r="S39" s="32"/>
    </row>
    <row r="40" spans="1:19" ht="13.5" customHeight="1" x14ac:dyDescent="0.25">
      <c r="A40" s="10"/>
      <c r="B40" s="88"/>
      <c r="C40" s="150" t="s">
        <v>113</v>
      </c>
      <c r="D40" s="12"/>
      <c r="E40" s="136"/>
      <c r="F40" s="113"/>
      <c r="G40" s="122"/>
      <c r="I40" s="4"/>
      <c r="J40" s="4"/>
      <c r="K40" s="8"/>
      <c r="L40" s="8"/>
      <c r="N40" s="13"/>
      <c r="O40" s="31"/>
      <c r="P40" s="30"/>
      <c r="Q40" s="35"/>
      <c r="S40" s="32"/>
    </row>
    <row r="41" spans="1:19" ht="13.5" customHeight="1" x14ac:dyDescent="0.25">
      <c r="A41" s="10"/>
      <c r="B41" s="88"/>
      <c r="C41" s="88"/>
      <c r="D41" s="12"/>
      <c r="E41" s="12"/>
      <c r="F41" s="14"/>
      <c r="I41" s="4"/>
      <c r="J41" s="4"/>
      <c r="K41" s="8"/>
      <c r="L41" s="8"/>
      <c r="N41" s="13"/>
      <c r="O41" s="31"/>
      <c r="P41" s="30"/>
      <c r="Q41" s="35"/>
      <c r="S41" s="32"/>
    </row>
    <row r="42" spans="1:19" ht="13.5" customHeight="1" x14ac:dyDescent="0.25">
      <c r="A42" s="10"/>
      <c r="B42" s="88"/>
      <c r="C42" s="88"/>
      <c r="D42" s="17" t="s">
        <v>44</v>
      </c>
      <c r="E42" s="12"/>
      <c r="F42" s="14"/>
      <c r="I42" s="4"/>
      <c r="J42" s="4"/>
      <c r="K42" s="8"/>
      <c r="O42" s="31"/>
      <c r="P42" s="30"/>
      <c r="Q42" s="35"/>
      <c r="S42" s="32"/>
    </row>
    <row r="43" spans="1:19" ht="13.5" customHeight="1" thickBot="1" x14ac:dyDescent="0.3">
      <c r="A43" s="92" t="s">
        <v>51</v>
      </c>
      <c r="B43" s="15"/>
      <c r="C43" s="15"/>
      <c r="D43" s="12"/>
      <c r="E43" s="17"/>
      <c r="F43" s="8"/>
      <c r="I43" s="4"/>
      <c r="J43" s="4"/>
      <c r="K43" s="8"/>
      <c r="O43" s="31"/>
      <c r="P43" s="30"/>
      <c r="Q43" s="35"/>
      <c r="S43" s="32"/>
    </row>
    <row r="44" spans="1:19" ht="13.5" customHeight="1" thickBot="1" x14ac:dyDescent="0.3">
      <c r="A44" s="89" t="s">
        <v>50</v>
      </c>
      <c r="B44" s="90"/>
      <c r="C44" s="88"/>
      <c r="F44" s="70"/>
      <c r="G44" s="135" t="s">
        <v>95</v>
      </c>
      <c r="H44" s="146">
        <v>6500</v>
      </c>
      <c r="I44" s="71"/>
      <c r="J44" s="91" t="s">
        <v>115</v>
      </c>
      <c r="O44" s="31"/>
      <c r="Q44" s="35"/>
      <c r="S44" s="32"/>
    </row>
    <row r="45" spans="1:19" ht="13.5" customHeight="1" thickBot="1" x14ac:dyDescent="0.3">
      <c r="A45" t="s">
        <v>0</v>
      </c>
      <c r="B45">
        <v>4.091E-3</v>
      </c>
      <c r="D45" s="3"/>
      <c r="G45" s="96" t="s">
        <v>96</v>
      </c>
      <c r="H45" s="147">
        <v>0.13</v>
      </c>
      <c r="I45" s="70" t="s">
        <v>13</v>
      </c>
      <c r="J45" s="91" t="s">
        <v>116</v>
      </c>
      <c r="Q45" s="35"/>
      <c r="S45" s="32"/>
    </row>
    <row r="46" spans="1:19" ht="13.5" customHeight="1" x14ac:dyDescent="0.25">
      <c r="A46" t="s">
        <v>1</v>
      </c>
      <c r="B46">
        <v>1.1600999999999999</v>
      </c>
      <c r="D46" s="3"/>
      <c r="E46" s="99" t="s">
        <v>56</v>
      </c>
      <c r="K46" s="117"/>
      <c r="L46" s="73"/>
      <c r="Q46" s="35"/>
      <c r="S46" s="32"/>
    </row>
    <row r="47" spans="1:19" ht="13.5" customHeight="1" x14ac:dyDescent="0.25">
      <c r="A47" t="s">
        <v>2</v>
      </c>
      <c r="B47">
        <v>3.1909999999999998E-3</v>
      </c>
      <c r="D47" s="23" t="s">
        <v>45</v>
      </c>
      <c r="H47">
        <f>IF(M26="", 100/M21,100/ M27)</f>
        <v>2.9411764705882355</v>
      </c>
      <c r="I47" s="23" t="s">
        <v>46</v>
      </c>
      <c r="M47" s="100" t="s">
        <v>57</v>
      </c>
      <c r="N47" s="75"/>
      <c r="O47" s="100" t="s">
        <v>57</v>
      </c>
      <c r="Q47" s="35"/>
      <c r="S47" s="32"/>
    </row>
    <row r="48" spans="1:19" ht="13.5" customHeight="1" x14ac:dyDescent="0.25">
      <c r="A48" t="s">
        <v>3</v>
      </c>
      <c r="B48">
        <v>1.2945</v>
      </c>
      <c r="M48" s="88" t="s">
        <v>25</v>
      </c>
      <c r="N48" s="75"/>
      <c r="O48" s="76" t="s">
        <v>27</v>
      </c>
      <c r="Q48" s="35"/>
      <c r="S48" s="32"/>
    </row>
    <row r="49" spans="1:19" ht="13.5" customHeight="1" x14ac:dyDescent="0.25">
      <c r="F49" s="5"/>
      <c r="H49" s="152" t="s">
        <v>42</v>
      </c>
      <c r="I49" s="152"/>
      <c r="M49" s="88" t="s">
        <v>5</v>
      </c>
      <c r="N49" s="31"/>
      <c r="O49" s="76" t="s">
        <v>28</v>
      </c>
      <c r="Q49" s="59"/>
      <c r="S49" s="32"/>
    </row>
    <row r="50" spans="1:19" ht="13.5" customHeight="1" thickBot="1" x14ac:dyDescent="0.3">
      <c r="A50" s="94" t="s">
        <v>54</v>
      </c>
      <c r="B50" s="38"/>
      <c r="C50" s="39"/>
      <c r="E50" s="22" t="s">
        <v>40</v>
      </c>
      <c r="F50" s="101" t="s">
        <v>12</v>
      </c>
      <c r="G50" s="22" t="s">
        <v>11</v>
      </c>
      <c r="H50" s="153" t="s">
        <v>41</v>
      </c>
      <c r="I50" s="153"/>
      <c r="J50" s="101" t="s">
        <v>14</v>
      </c>
      <c r="M50" s="101" t="s">
        <v>39</v>
      </c>
      <c r="N50" s="31"/>
      <c r="O50" s="76" t="s">
        <v>29</v>
      </c>
      <c r="Q50" s="59"/>
      <c r="S50" s="32"/>
    </row>
    <row r="51" spans="1:19" ht="13.5" customHeight="1" thickBot="1" x14ac:dyDescent="0.3">
      <c r="A51" s="93" t="s">
        <v>53</v>
      </c>
      <c r="B51" s="29"/>
      <c r="C51" s="41"/>
      <c r="E51" s="81">
        <v>15000</v>
      </c>
      <c r="F51" s="82">
        <f>H45</f>
        <v>0.13</v>
      </c>
      <c r="G51" t="s">
        <v>13</v>
      </c>
      <c r="H51" s="86">
        <f>150*F51*M18</f>
        <v>746.84999999999991</v>
      </c>
      <c r="I51" s="83"/>
      <c r="J51" s="91" t="s">
        <v>77</v>
      </c>
      <c r="K51" s="6"/>
      <c r="L51" s="6"/>
      <c r="M51" s="48">
        <f>astm(H51/50,0) *50</f>
        <v>750</v>
      </c>
      <c r="N51" s="31"/>
      <c r="O51" s="54">
        <f>$H$44 - 5*M51</f>
        <v>2750</v>
      </c>
      <c r="Q51" s="59"/>
      <c r="S51" s="32"/>
    </row>
    <row r="52" spans="1:19" ht="13.5" customHeight="1" thickBot="1" x14ac:dyDescent="0.3">
      <c r="A52" s="40"/>
      <c r="B52" s="29"/>
      <c r="C52" s="41"/>
      <c r="E52" s="81">
        <v>15000</v>
      </c>
      <c r="F52" s="82">
        <f>H45</f>
        <v>0.13</v>
      </c>
      <c r="G52" t="s">
        <v>13</v>
      </c>
      <c r="H52" s="84">
        <f>15000*F52/H47</f>
        <v>663</v>
      </c>
      <c r="I52" s="85"/>
      <c r="J52" s="110" t="s">
        <v>76</v>
      </c>
      <c r="K52" s="111"/>
      <c r="L52" s="103"/>
      <c r="M52" s="55">
        <f>astm(H52/50,0) *50</f>
        <v>650</v>
      </c>
      <c r="N52" s="56"/>
      <c r="O52" s="57">
        <f>$H$44 - 5*M52</f>
        <v>3250</v>
      </c>
      <c r="Q52" s="59"/>
      <c r="S52" s="32"/>
    </row>
    <row r="53" spans="1:19" ht="13.5" customHeight="1" x14ac:dyDescent="0.25">
      <c r="A53" s="42">
        <v>33705</v>
      </c>
      <c r="B53" s="29" t="s">
        <v>21</v>
      </c>
      <c r="C53" s="41"/>
      <c r="Q53" s="59"/>
      <c r="S53" s="32"/>
    </row>
    <row r="54" spans="1:19" ht="13.5" customHeight="1" x14ac:dyDescent="0.25">
      <c r="A54" s="43"/>
      <c r="B54" s="44"/>
      <c r="C54" s="45"/>
      <c r="F54" s="20"/>
      <c r="G54" t="s">
        <v>26</v>
      </c>
      <c r="I54" s="77"/>
      <c r="J54" s="78"/>
      <c r="K54" s="79"/>
      <c r="L54" s="138" t="s">
        <v>104</v>
      </c>
      <c r="M54" s="29"/>
      <c r="N54" s="80"/>
      <c r="O54" s="31"/>
      <c r="P54" s="59"/>
      <c r="Q54" s="59"/>
      <c r="S54" s="32"/>
    </row>
    <row r="55" spans="1:19" ht="13.5" customHeight="1" x14ac:dyDescent="0.25">
      <c r="L55" t="s">
        <v>103</v>
      </c>
      <c r="Q55" s="35"/>
      <c r="S55" s="32"/>
    </row>
    <row r="56" spans="1:19" ht="13.5" customHeight="1" x14ac:dyDescent="0.25">
      <c r="L56" t="s">
        <v>100</v>
      </c>
      <c r="Q56" s="35"/>
      <c r="S56" s="32"/>
    </row>
  </sheetData>
  <mergeCells count="4">
    <mergeCell ref="H49:I49"/>
    <mergeCell ref="H50:I50"/>
    <mergeCell ref="D14:F14"/>
    <mergeCell ref="K15:M15"/>
  </mergeCells>
  <conditionalFormatting sqref="L8">
    <cfRule type="expression" dxfId="6" priority="7">
      <formula>L8*100000&lt;&gt;INT(L8*100000)</formula>
    </cfRule>
  </conditionalFormatting>
  <conditionalFormatting sqref="D18:E18">
    <cfRule type="expression" dxfId="5" priority="6">
      <formula>D18*100000&lt;&gt;INT(D18*100000)</formula>
    </cfRule>
  </conditionalFormatting>
  <conditionalFormatting sqref="D35:E35">
    <cfRule type="expression" dxfId="4" priority="5">
      <formula>D35*1000&lt;&gt;INT(D35*1000)</formula>
    </cfRule>
  </conditionalFormatting>
  <conditionalFormatting sqref="H44">
    <cfRule type="expression" dxfId="3" priority="4">
      <formula>H44&lt;&gt;INT(H44)</formula>
    </cfRule>
  </conditionalFormatting>
  <conditionalFormatting sqref="H45">
    <cfRule type="expression" dxfId="2" priority="3">
      <formula>H45*100&lt;&gt;INT(H45*100)</formula>
    </cfRule>
  </conditionalFormatting>
  <conditionalFormatting sqref="M26">
    <cfRule type="expression" dxfId="1" priority="2">
      <formula>M26&lt;&gt;INT(M26)</formula>
    </cfRule>
  </conditionalFormatting>
  <conditionalFormatting sqref="G38">
    <cfRule type="expression" dxfId="0" priority="1">
      <formula>G38&lt;&gt;INT(G38)</formula>
    </cfRule>
  </conditionalFormatting>
  <dataValidations count="1">
    <dataValidation type="whole" allowBlank="1" showInputMessage="1" showErrorMessage="1" sqref="M26" xr:uid="{97685A80-15DB-449E-A3AD-977F28295C40}">
      <formula1>1</formula1>
      <formula2>9999</formula2>
    </dataValidation>
  </dataValidations>
  <pageMargins left="0.7" right="0.7" top="0.75" bottom="0.75" header="0.3" footer="0.3"/>
  <pageSetup scale="5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 calcs</vt:lpstr>
      <vt:lpstr>EV calcs voluntarily lowered</vt:lpstr>
    </vt:vector>
  </TitlesOfParts>
  <Company>EPA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EPA 2021 Generic EV Label Calculator (2019-12-17.xlsm)</dc:title>
  <dc:subject>EPA calculator: calculates electric vehicle FE label city, highway, combined FE values; also, calculates the adjusted EV city and highway driving range values using the SAE J1634 method and 2017MY and later model year derived 5-cycle coefficients method.</dc:subject>
  <dc:creator>U.S. EPA;OAR;Office of Transportation and Air Quality;Compliance Division</dc:creator>
  <cp:keywords>electric;vehicle;EV;label;calculator;2022;model;year;MY;2017;derived 5-cycle; SAE J1634;method; fuel;economy;FE;city;highway;combined;tool;driving;range;CAFE;MPGe;values;rating;charge;depleting;CD;vehicle;engine;input;economy;cost;energy;consumption;excel</cp:keywords>
  <cp:lastModifiedBy>Dietrich, Gwen</cp:lastModifiedBy>
  <cp:lastPrinted>2021-10-29T11:12:47Z</cp:lastPrinted>
  <dcterms:created xsi:type="dcterms:W3CDTF">2006-12-28T20:41:45Z</dcterms:created>
  <dcterms:modified xsi:type="dcterms:W3CDTF">2021-10-29T11:12:56Z</dcterms:modified>
</cp:coreProperties>
</file>